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1600" windowHeight="9135" activeTab="2"/>
  </bookViews>
  <sheets>
    <sheet name="Финансирование" sheetId="1" r:id="rId1"/>
    <sheet name="Показатели, Критерии" sheetId="2" r:id="rId2"/>
    <sheet name="План реализации" sheetId="3" r:id="rId3"/>
  </sheets>
  <definedNames>
    <definedName name="_xlnm._FilterDatabase" localSheetId="2" hidden="1">'План реализации'!$A$9:$Q$9</definedName>
    <definedName name="_xlnm.Print_Titles" localSheetId="2">'План реализации'!$9:$9</definedName>
    <definedName name="_xlnm.Print_Titles" localSheetId="1">'Показатели, Критерии'!$9:$9</definedName>
    <definedName name="_xlnm.Print_Titles" localSheetId="0">Финансирование!$10:$10</definedName>
    <definedName name="_xlnm.Print_Area" localSheetId="2">'План реализации'!$A$1:$Q$153</definedName>
    <definedName name="_xlnm.Print_Area" localSheetId="1">'Показатели, Критерии'!$A$1:$G$55</definedName>
    <definedName name="_xlnm.Print_Area" localSheetId="0">Финансирование!$A$1:$Z$188</definedName>
  </definedNames>
  <calcPr calcId="145621"/>
</workbook>
</file>

<file path=xl/calcChain.xml><?xml version="1.0" encoding="utf-8"?>
<calcChain xmlns="http://schemas.openxmlformats.org/spreadsheetml/2006/main">
  <c r="O11" i="3" l="1"/>
  <c r="O10" i="3" s="1"/>
  <c r="O68" i="3"/>
  <c r="O70" i="3"/>
  <c r="O71" i="3"/>
  <c r="O93" i="3"/>
  <c r="O92" i="3" s="1"/>
  <c r="O97" i="3"/>
  <c r="O94" i="3" s="1"/>
  <c r="O90" i="3" l="1"/>
  <c r="O69" i="3"/>
  <c r="O67" i="3" s="1"/>
  <c r="O63" i="3" s="1"/>
  <c r="Y104" i="1"/>
  <c r="T78" i="1" l="1"/>
  <c r="T80" i="1"/>
  <c r="T86" i="1"/>
  <c r="T74" i="1" l="1"/>
  <c r="T79" i="1"/>
  <c r="T75" i="1" l="1"/>
  <c r="T72" i="1" l="1"/>
  <c r="T95" i="1" l="1"/>
  <c r="T91" i="1" l="1"/>
  <c r="Y96" i="1" l="1"/>
  <c r="Y78" i="1"/>
  <c r="I115" i="1" l="1"/>
  <c r="AB115" i="1" s="1"/>
  <c r="K94" i="1" l="1"/>
  <c r="AG13" i="1" l="1"/>
  <c r="L116" i="3" l="1"/>
  <c r="L132" i="3"/>
  <c r="L130" i="3"/>
  <c r="L128" i="3"/>
  <c r="L127" i="3"/>
  <c r="L126" i="3"/>
  <c r="L125" i="3"/>
  <c r="L123" i="3"/>
  <c r="L121" i="3"/>
  <c r="L119" i="3"/>
  <c r="L117" i="3"/>
  <c r="L115" i="3"/>
  <c r="L114" i="3"/>
  <c r="L112" i="3"/>
  <c r="L111" i="3"/>
  <c r="L109" i="3"/>
  <c r="L108" i="3"/>
  <c r="L107" i="3"/>
  <c r="L105" i="3"/>
  <c r="L104" i="3"/>
  <c r="L102" i="3"/>
  <c r="L100" i="3"/>
  <c r="L99" i="3"/>
  <c r="L98" i="3"/>
  <c r="L96" i="3"/>
  <c r="L93" i="3"/>
  <c r="L92" i="3" s="1"/>
  <c r="L78" i="3"/>
  <c r="L75" i="3"/>
  <c r="L72" i="3"/>
  <c r="L71" i="3"/>
  <c r="L70" i="3"/>
  <c r="L68" i="3"/>
  <c r="L66" i="3"/>
  <c r="L65" i="3"/>
  <c r="L64" i="3" l="1"/>
  <c r="L97" i="3"/>
  <c r="L94" i="3" s="1"/>
  <c r="L90" i="3" s="1"/>
  <c r="L69" i="3"/>
  <c r="L67" i="3" s="1"/>
  <c r="L60" i="3"/>
  <c r="L54" i="3"/>
  <c r="L53" i="3"/>
  <c r="L51" i="3"/>
  <c r="L47" i="3"/>
  <c r="L46" i="3"/>
  <c r="L45" i="3"/>
  <c r="L43" i="3"/>
  <c r="L41" i="3"/>
  <c r="L39" i="3"/>
  <c r="L38" i="3"/>
  <c r="L35" i="3"/>
  <c r="L33" i="3"/>
  <c r="L31" i="3"/>
  <c r="L30" i="3"/>
  <c r="L29" i="3"/>
  <c r="L28" i="3"/>
  <c r="L26" i="3"/>
  <c r="L24" i="3"/>
  <c r="L22" i="3"/>
  <c r="L21" i="3"/>
  <c r="L20" i="3"/>
  <c r="L19" i="3"/>
  <c r="L18" i="3"/>
  <c r="L17" i="3"/>
  <c r="L16" i="3"/>
  <c r="L15" i="3"/>
  <c r="L14" i="3"/>
  <c r="L13" i="3"/>
  <c r="L11" i="3"/>
  <c r="AB120" i="1" l="1"/>
  <c r="AB13" i="1" l="1"/>
  <c r="I94" i="1"/>
  <c r="N94" i="1"/>
  <c r="P95" i="1"/>
  <c r="K90" i="3" l="1"/>
  <c r="W112" i="3"/>
  <c r="W111" i="3"/>
  <c r="W55" i="3"/>
  <c r="J12" i="3" l="1"/>
  <c r="K12" i="3"/>
  <c r="L12" i="3"/>
  <c r="M12" i="3"/>
  <c r="N12" i="3"/>
  <c r="O12" i="3"/>
  <c r="P12" i="3"/>
  <c r="I12" i="3"/>
  <c r="J90" i="3"/>
  <c r="M90" i="3"/>
  <c r="N90" i="3"/>
  <c r="P90" i="3"/>
  <c r="X112" i="3"/>
  <c r="Y112" i="3" s="1"/>
  <c r="T12" i="3" l="1"/>
  <c r="T90" i="3"/>
  <c r="AB67" i="1"/>
  <c r="D15" i="1"/>
  <c r="E15" i="1"/>
  <c r="F15" i="1"/>
  <c r="G15" i="1"/>
  <c r="H15" i="1"/>
  <c r="I15" i="1"/>
  <c r="J15" i="1"/>
  <c r="K15" i="1"/>
  <c r="L15" i="1"/>
  <c r="M15" i="1"/>
  <c r="O15" i="1"/>
  <c r="P15" i="1"/>
  <c r="Q15" i="1"/>
  <c r="R15" i="1"/>
  <c r="S15" i="1"/>
  <c r="T15" i="1"/>
  <c r="N15" i="1"/>
  <c r="N11" i="1" s="1"/>
  <c r="E103" i="1"/>
  <c r="E99" i="1" s="1"/>
  <c r="E95" i="1"/>
  <c r="D94" i="1"/>
  <c r="E77" i="1"/>
  <c r="E75" i="1" s="1"/>
  <c r="E71" i="1" s="1"/>
  <c r="AC15" i="1" l="1"/>
  <c r="E94" i="1"/>
  <c r="AB143" i="1" l="1"/>
  <c r="AB125" i="1"/>
  <c r="AB119" i="1"/>
  <c r="AB113" i="1"/>
  <c r="AB69" i="1"/>
  <c r="AB68" i="1"/>
  <c r="AB49" i="1"/>
  <c r="AB40" i="1"/>
  <c r="AB28" i="1"/>
  <c r="AB24" i="1"/>
  <c r="AB23" i="1"/>
  <c r="AB14" i="1"/>
  <c r="AB16" i="1"/>
  <c r="AB17" i="1"/>
  <c r="AB18" i="1"/>
  <c r="AB19" i="1"/>
  <c r="AB20" i="1"/>
  <c r="AB21" i="1"/>
  <c r="AB22" i="1"/>
  <c r="AB25" i="1"/>
  <c r="AB26" i="1"/>
  <c r="AB27" i="1"/>
  <c r="AB29" i="1"/>
  <c r="AB30" i="1"/>
  <c r="AB32" i="1"/>
  <c r="AB33" i="1"/>
  <c r="AB35" i="1"/>
  <c r="AB36" i="1"/>
  <c r="AB37" i="1"/>
  <c r="AB38" i="1"/>
  <c r="AB39" i="1"/>
  <c r="AB41" i="1"/>
  <c r="AB42" i="1"/>
  <c r="AB45" i="1"/>
  <c r="AB46" i="1"/>
  <c r="AB47" i="1"/>
  <c r="AB48" i="1"/>
  <c r="AB50" i="1"/>
  <c r="AB51" i="1"/>
  <c r="AB52" i="1"/>
  <c r="AB53" i="1"/>
  <c r="AB54" i="1"/>
  <c r="AB56" i="1"/>
  <c r="AB57" i="1"/>
  <c r="AB58" i="1"/>
  <c r="AB59" i="1"/>
  <c r="AB63" i="1"/>
  <c r="AB65" i="1"/>
  <c r="AB66" i="1"/>
  <c r="AB70" i="1"/>
  <c r="AB73" i="1"/>
  <c r="AB74" i="1"/>
  <c r="AB76" i="1"/>
  <c r="AB78" i="1"/>
  <c r="AB79" i="1"/>
  <c r="AB80" i="1"/>
  <c r="AB81" i="1"/>
  <c r="AB83" i="1"/>
  <c r="AB84" i="1"/>
  <c r="AB85" i="1"/>
  <c r="AB86" i="1"/>
  <c r="AB87" i="1"/>
  <c r="AB88" i="1"/>
  <c r="AB89" i="1"/>
  <c r="AB91" i="1"/>
  <c r="AB92" i="1"/>
  <c r="AB93" i="1"/>
  <c r="AB95" i="1"/>
  <c r="AB96" i="1"/>
  <c r="AB97" i="1"/>
  <c r="AB98" i="1"/>
  <c r="AB101" i="1"/>
  <c r="AB102" i="1"/>
  <c r="AB104" i="1"/>
  <c r="AB105" i="1"/>
  <c r="AB106" i="1"/>
  <c r="AB108" i="1"/>
  <c r="AB110" i="1"/>
  <c r="AB111" i="1"/>
  <c r="AB114" i="1"/>
  <c r="AB116" i="1"/>
  <c r="AB121" i="1"/>
  <c r="AB122" i="1"/>
  <c r="AB123" i="1"/>
  <c r="AB124" i="1"/>
  <c r="AB126" i="1"/>
  <c r="AB127" i="1"/>
  <c r="AB128" i="1"/>
  <c r="AB130" i="1"/>
  <c r="AB132" i="1"/>
  <c r="AB134" i="1"/>
  <c r="AB136" i="1"/>
  <c r="AB137" i="1"/>
  <c r="AB139" i="1"/>
  <c r="AB140" i="1"/>
  <c r="AB141" i="1"/>
  <c r="AB144" i="1"/>
  <c r="AB145" i="1"/>
  <c r="M97" i="3" l="1"/>
  <c r="K63" i="3" l="1"/>
  <c r="L63" i="3"/>
  <c r="M63" i="3"/>
  <c r="N63" i="3"/>
  <c r="P63" i="3"/>
  <c r="I63" i="3"/>
  <c r="W82" i="3"/>
  <c r="W84" i="3"/>
  <c r="X84" i="3"/>
  <c r="J64" i="3"/>
  <c r="J63" i="3" s="1"/>
  <c r="Y84" i="3" l="1"/>
  <c r="J10" i="3" l="1"/>
  <c r="L10" i="3"/>
  <c r="N10" i="3"/>
  <c r="P10" i="3"/>
  <c r="I10" i="3"/>
  <c r="T10" i="3" l="1"/>
  <c r="P72" i="1"/>
  <c r="AB72" i="1" s="1"/>
  <c r="S94" i="1" l="1"/>
  <c r="R94" i="1"/>
  <c r="Q94" i="1"/>
  <c r="O94" i="1"/>
  <c r="M94" i="1"/>
  <c r="L94" i="1"/>
  <c r="S71" i="1"/>
  <c r="R71" i="1"/>
  <c r="Q71" i="1"/>
  <c r="O71" i="1"/>
  <c r="M71" i="1"/>
  <c r="L71" i="1"/>
  <c r="J71" i="1"/>
  <c r="H71" i="1"/>
  <c r="G71" i="1"/>
  <c r="F71" i="1"/>
  <c r="K71" i="1"/>
  <c r="I71" i="1"/>
  <c r="D71" i="1" l="1"/>
  <c r="D11" i="1" s="1"/>
  <c r="AG111" i="1" l="1"/>
  <c r="AG110" i="1"/>
  <c r="AG128" i="1"/>
  <c r="AG130" i="1"/>
  <c r="AG78" i="1"/>
  <c r="AG126" i="1"/>
  <c r="AG87" i="1"/>
  <c r="AH134" i="1" l="1"/>
  <c r="AG134" i="1"/>
  <c r="W20" i="3" l="1"/>
  <c r="W24" i="3" l="1"/>
  <c r="AG71" i="1" l="1"/>
  <c r="X137" i="3" l="1"/>
  <c r="W137" i="3"/>
  <c r="X134" i="3"/>
  <c r="W134" i="3"/>
  <c r="X133" i="3"/>
  <c r="W133" i="3"/>
  <c r="W132" i="3"/>
  <c r="X132" i="3"/>
  <c r="X131" i="3"/>
  <c r="W131" i="3"/>
  <c r="W130" i="3"/>
  <c r="X130" i="3"/>
  <c r="X129" i="3"/>
  <c r="W129" i="3"/>
  <c r="W128" i="3"/>
  <c r="X128" i="3"/>
  <c r="W127" i="3"/>
  <c r="X127" i="3"/>
  <c r="W126" i="3"/>
  <c r="X126" i="3"/>
  <c r="W125" i="3"/>
  <c r="X125" i="3"/>
  <c r="X124" i="3"/>
  <c r="W124" i="3"/>
  <c r="W123" i="3"/>
  <c r="X123" i="3"/>
  <c r="X122" i="3"/>
  <c r="W122" i="3"/>
  <c r="W121" i="3"/>
  <c r="X121" i="3"/>
  <c r="X120" i="3"/>
  <c r="W120" i="3"/>
  <c r="W119" i="3"/>
  <c r="X119" i="3"/>
  <c r="X118" i="3"/>
  <c r="W118" i="3"/>
  <c r="W117" i="3"/>
  <c r="X117" i="3"/>
  <c r="W116" i="3"/>
  <c r="X116" i="3"/>
  <c r="W115" i="3"/>
  <c r="X115" i="3"/>
  <c r="W114" i="3"/>
  <c r="X114" i="3"/>
  <c r="X113" i="3"/>
  <c r="W113" i="3"/>
  <c r="X111" i="3"/>
  <c r="X110" i="3"/>
  <c r="W110" i="3"/>
  <c r="W109" i="3"/>
  <c r="X109" i="3"/>
  <c r="W108" i="3"/>
  <c r="X108" i="3"/>
  <c r="W107" i="3"/>
  <c r="X107" i="3"/>
  <c r="X106" i="3"/>
  <c r="W106" i="3"/>
  <c r="W105" i="3"/>
  <c r="X105" i="3"/>
  <c r="W104" i="3"/>
  <c r="X104" i="3"/>
  <c r="X103" i="3"/>
  <c r="W103" i="3"/>
  <c r="W102" i="3"/>
  <c r="X102" i="3"/>
  <c r="X101" i="3"/>
  <c r="W101" i="3"/>
  <c r="X100" i="3"/>
  <c r="W100" i="3"/>
  <c r="W99" i="3"/>
  <c r="W98" i="3"/>
  <c r="X98" i="3"/>
  <c r="W96" i="3"/>
  <c r="X96" i="3"/>
  <c r="X95" i="3"/>
  <c r="W95" i="3"/>
  <c r="W93" i="3"/>
  <c r="W92" i="3"/>
  <c r="X91" i="3"/>
  <c r="W91" i="3"/>
  <c r="X88" i="3"/>
  <c r="W88" i="3"/>
  <c r="X87" i="3"/>
  <c r="W87" i="3"/>
  <c r="X86" i="3"/>
  <c r="W86" i="3"/>
  <c r="X85" i="3"/>
  <c r="W85" i="3"/>
  <c r="W83" i="3"/>
  <c r="X83" i="3"/>
  <c r="W81" i="3"/>
  <c r="X81" i="3"/>
  <c r="X80" i="3"/>
  <c r="W80" i="3"/>
  <c r="W79" i="3"/>
  <c r="X79" i="3"/>
  <c r="W78" i="3"/>
  <c r="X78" i="3"/>
  <c r="W77" i="3"/>
  <c r="X77" i="3"/>
  <c r="W76" i="3"/>
  <c r="X76" i="3"/>
  <c r="W75" i="3"/>
  <c r="X75" i="3"/>
  <c r="X74" i="3"/>
  <c r="W74" i="3"/>
  <c r="W73" i="3"/>
  <c r="X73" i="3"/>
  <c r="W72" i="3"/>
  <c r="X72" i="3"/>
  <c r="W71" i="3"/>
  <c r="X71" i="3"/>
  <c r="W70" i="3"/>
  <c r="X70" i="3"/>
  <c r="W69" i="3"/>
  <c r="X68" i="3"/>
  <c r="W68" i="3"/>
  <c r="W66" i="3"/>
  <c r="X66" i="3"/>
  <c r="W65" i="3"/>
  <c r="X65" i="3"/>
  <c r="X62" i="3"/>
  <c r="W62" i="3"/>
  <c r="X61" i="3"/>
  <c r="W61" i="3"/>
  <c r="X59" i="3"/>
  <c r="W59" i="3"/>
  <c r="W58" i="3"/>
  <c r="X58" i="3"/>
  <c r="X57" i="3"/>
  <c r="W57" i="3"/>
  <c r="W56" i="3"/>
  <c r="X56" i="3"/>
  <c r="W54" i="3"/>
  <c r="X54" i="3"/>
  <c r="W53" i="3"/>
  <c r="X53" i="3"/>
  <c r="X52" i="3"/>
  <c r="W52" i="3"/>
  <c r="W51" i="3"/>
  <c r="X51" i="3"/>
  <c r="X50" i="3"/>
  <c r="W50" i="3"/>
  <c r="X49" i="3"/>
  <c r="W49" i="3"/>
  <c r="X48" i="3"/>
  <c r="W48" i="3"/>
  <c r="W47" i="3"/>
  <c r="X47" i="3"/>
  <c r="W46" i="3"/>
  <c r="X46" i="3"/>
  <c r="W45" i="3"/>
  <c r="X45" i="3"/>
  <c r="X44" i="3"/>
  <c r="W44" i="3"/>
  <c r="W43" i="3"/>
  <c r="X43" i="3"/>
  <c r="X42" i="3"/>
  <c r="W42" i="3"/>
  <c r="W41" i="3"/>
  <c r="X41" i="3"/>
  <c r="X40" i="3"/>
  <c r="W40" i="3"/>
  <c r="W39" i="3"/>
  <c r="X39" i="3"/>
  <c r="W38" i="3"/>
  <c r="X38" i="3"/>
  <c r="W37" i="3"/>
  <c r="X37" i="3"/>
  <c r="W36" i="3"/>
  <c r="X36" i="3"/>
  <c r="W35" i="3"/>
  <c r="X35" i="3"/>
  <c r="X34" i="3"/>
  <c r="W34" i="3"/>
  <c r="W33" i="3"/>
  <c r="X33" i="3"/>
  <c r="X32" i="3"/>
  <c r="W32" i="3"/>
  <c r="W31" i="3"/>
  <c r="X31" i="3"/>
  <c r="W30" i="3"/>
  <c r="X30" i="3"/>
  <c r="W29" i="3"/>
  <c r="X29" i="3"/>
  <c r="W28" i="3"/>
  <c r="X28" i="3"/>
  <c r="X27" i="3"/>
  <c r="W27" i="3"/>
  <c r="W26" i="3"/>
  <c r="X26" i="3"/>
  <c r="X25" i="3"/>
  <c r="W25" i="3"/>
  <c r="X24" i="3"/>
  <c r="X23" i="3"/>
  <c r="W23" i="3"/>
  <c r="T23" i="3"/>
  <c r="W22" i="3"/>
  <c r="W21" i="3"/>
  <c r="X21" i="3"/>
  <c r="X20" i="3"/>
  <c r="W19" i="3"/>
  <c r="X19" i="3"/>
  <c r="W18" i="3"/>
  <c r="X18" i="3"/>
  <c r="W17" i="3"/>
  <c r="X17" i="3"/>
  <c r="W16" i="3"/>
  <c r="X16" i="3"/>
  <c r="W15" i="3"/>
  <c r="X15" i="3"/>
  <c r="W14" i="3"/>
  <c r="X14" i="3"/>
  <c r="W13" i="3"/>
  <c r="X13" i="3"/>
  <c r="W11" i="3"/>
  <c r="T103" i="1"/>
  <c r="T99" i="1" s="1"/>
  <c r="T94" i="1" s="1"/>
  <c r="P103" i="1"/>
  <c r="J94" i="1"/>
  <c r="H94" i="1"/>
  <c r="G94" i="1"/>
  <c r="F94" i="1"/>
  <c r="P77" i="1"/>
  <c r="P99" i="1" l="1"/>
  <c r="P94" i="1" s="1"/>
  <c r="AB94" i="1" s="1"/>
  <c r="AB103" i="1"/>
  <c r="AB99" i="1"/>
  <c r="P75" i="1"/>
  <c r="AB75" i="1" s="1"/>
  <c r="AB77" i="1"/>
  <c r="AH15" i="1"/>
  <c r="AG94" i="1"/>
  <c r="X11" i="3"/>
  <c r="Y11" i="3" s="1"/>
  <c r="X92" i="3"/>
  <c r="Y92" i="3" s="1"/>
  <c r="X99" i="3"/>
  <c r="Y99" i="3" s="1"/>
  <c r="X94" i="3"/>
  <c r="S10" i="3"/>
  <c r="W64" i="3"/>
  <c r="Y18" i="3"/>
  <c r="S11" i="1"/>
  <c r="E11" i="1"/>
  <c r="F11" i="1"/>
  <c r="J11" i="1"/>
  <c r="G11" i="1"/>
  <c r="Y73" i="3"/>
  <c r="Y57" i="3"/>
  <c r="Y133" i="3"/>
  <c r="Y52" i="3"/>
  <c r="O138" i="3"/>
  <c r="X93" i="3"/>
  <c r="Y93" i="3" s="1"/>
  <c r="Y74" i="3"/>
  <c r="Y78" i="3"/>
  <c r="Y80" i="3"/>
  <c r="Y83" i="3"/>
  <c r="Y95" i="3"/>
  <c r="Y100" i="3"/>
  <c r="Y115" i="3"/>
  <c r="Y119" i="3"/>
  <c r="Y121" i="3"/>
  <c r="Y125" i="3"/>
  <c r="Y129" i="3"/>
  <c r="Y130" i="3"/>
  <c r="Y29" i="3"/>
  <c r="Y37" i="3"/>
  <c r="Y41" i="3"/>
  <c r="Y46" i="3"/>
  <c r="Y48" i="3"/>
  <c r="Y61" i="3"/>
  <c r="L138" i="3"/>
  <c r="Y98" i="3"/>
  <c r="Y107" i="3"/>
  <c r="Y56" i="3"/>
  <c r="Y19" i="3"/>
  <c r="Y40" i="3"/>
  <c r="Y44" i="3"/>
  <c r="Y59" i="3"/>
  <c r="Y117" i="3"/>
  <c r="Y122" i="3"/>
  <c r="Y124" i="3"/>
  <c r="Y128" i="3"/>
  <c r="Y25" i="3"/>
  <c r="Y27" i="3"/>
  <c r="Y33" i="3"/>
  <c r="I97" i="3"/>
  <c r="W97" i="3" s="1"/>
  <c r="Y79" i="3"/>
  <c r="Y101" i="3"/>
  <c r="Y102" i="3"/>
  <c r="Y105" i="3"/>
  <c r="Y134" i="3"/>
  <c r="Y14" i="3"/>
  <c r="Y24" i="3"/>
  <c r="Y26" i="3"/>
  <c r="Y35" i="3"/>
  <c r="Y42" i="3"/>
  <c r="Y49" i="3"/>
  <c r="Y53" i="3"/>
  <c r="Y86" i="3"/>
  <c r="Y104" i="3"/>
  <c r="Y108" i="3"/>
  <c r="Y127" i="3"/>
  <c r="Y137" i="3"/>
  <c r="Y28" i="3"/>
  <c r="Y66" i="3"/>
  <c r="Y68" i="3"/>
  <c r="Y75" i="3"/>
  <c r="Y81" i="3"/>
  <c r="Y96" i="3"/>
  <c r="Y103" i="3"/>
  <c r="Y111" i="3"/>
  <c r="Y131" i="3"/>
  <c r="M138" i="3"/>
  <c r="Y13" i="3"/>
  <c r="Y20" i="3"/>
  <c r="Y21" i="3"/>
  <c r="J138" i="3"/>
  <c r="N138" i="3"/>
  <c r="Y15" i="3"/>
  <c r="Y32" i="3"/>
  <c r="Y38" i="3"/>
  <c r="Y39" i="3"/>
  <c r="Y43" i="3"/>
  <c r="Y45" i="3"/>
  <c r="Y54" i="3"/>
  <c r="Y65" i="3"/>
  <c r="Y70" i="3"/>
  <c r="Y76" i="3"/>
  <c r="Y77" i="3"/>
  <c r="Y88" i="3"/>
  <c r="Y106" i="3"/>
  <c r="Y110" i="3"/>
  <c r="Y123" i="3"/>
  <c r="Y126" i="3"/>
  <c r="Y16" i="3"/>
  <c r="Y17" i="3"/>
  <c r="Y23" i="3"/>
  <c r="Y30" i="3"/>
  <c r="Y31" i="3"/>
  <c r="Y34" i="3"/>
  <c r="Y36" i="3"/>
  <c r="Y47" i="3"/>
  <c r="Y50" i="3"/>
  <c r="Y51" i="3"/>
  <c r="Y58" i="3"/>
  <c r="Y62" i="3"/>
  <c r="W67" i="3"/>
  <c r="Y71" i="3"/>
  <c r="Y72" i="3"/>
  <c r="Y85" i="3"/>
  <c r="Y87" i="3"/>
  <c r="Y91" i="3"/>
  <c r="Y109" i="3"/>
  <c r="Y113" i="3"/>
  <c r="Y116" i="3"/>
  <c r="Y118" i="3"/>
  <c r="Y120" i="3"/>
  <c r="Y132" i="3"/>
  <c r="Y114" i="3"/>
  <c r="X22" i="3"/>
  <c r="Y22" i="3" s="1"/>
  <c r="K138" i="3"/>
  <c r="X69" i="3"/>
  <c r="Y69" i="3" s="1"/>
  <c r="H11" i="1"/>
  <c r="L11" i="1"/>
  <c r="Q11" i="1"/>
  <c r="R11" i="1"/>
  <c r="O11" i="1"/>
  <c r="T71" i="1"/>
  <c r="T11" i="1" s="1"/>
  <c r="M11" i="1"/>
  <c r="T77" i="1"/>
  <c r="P71" i="1" l="1"/>
  <c r="AG15" i="1"/>
  <c r="AH71" i="1"/>
  <c r="W12" i="3"/>
  <c r="P11" i="1"/>
  <c r="X97" i="3"/>
  <c r="Y97" i="3" s="1"/>
  <c r="I94" i="3"/>
  <c r="I90" i="3" s="1"/>
  <c r="W90" i="3" s="1"/>
  <c r="X12" i="3"/>
  <c r="X64" i="3"/>
  <c r="Y64" i="3" s="1"/>
  <c r="I11" i="1"/>
  <c r="AB71" i="1" l="1"/>
  <c r="AC71" i="1"/>
  <c r="W94" i="3"/>
  <c r="Y94" i="3" s="1"/>
  <c r="Y12" i="3"/>
  <c r="AH94" i="1"/>
  <c r="X90" i="3"/>
  <c r="S63" i="3"/>
  <c r="W63" i="3"/>
  <c r="X67" i="3"/>
  <c r="Y67" i="3" s="1"/>
  <c r="S90" i="3"/>
  <c r="K11" i="1"/>
  <c r="AC94" i="1"/>
  <c r="AH11" i="1" l="1"/>
  <c r="X63" i="3"/>
  <c r="Y63" i="3" s="1"/>
  <c r="T63" i="3"/>
  <c r="I138" i="3"/>
  <c r="Y90" i="3"/>
  <c r="P138" i="3"/>
  <c r="W138" i="3" l="1"/>
  <c r="X138" i="3"/>
  <c r="Y138" i="3" l="1"/>
  <c r="AC12" i="1"/>
  <c r="AG11" i="1"/>
  <c r="AC11" i="1" l="1"/>
</calcChain>
</file>

<file path=xl/sharedStrings.xml><?xml version="1.0" encoding="utf-8"?>
<sst xmlns="http://schemas.openxmlformats.org/spreadsheetml/2006/main" count="1370" uniqueCount="559">
  <si>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</si>
  <si>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</si>
  <si>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</si>
  <si>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</si>
  <si>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</si>
  <si>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</si>
  <si>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</si>
  <si>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</si>
  <si>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</si>
  <si>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</si>
  <si>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</si>
  <si>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</si>
  <si>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</si>
  <si>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</si>
  <si>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</si>
  <si>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</si>
  <si>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</si>
  <si>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</si>
  <si>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</si>
  <si>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</si>
  <si>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</si>
  <si>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</si>
  <si>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</si>
  <si>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</si>
  <si>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</si>
  <si>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</si>
  <si>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</si>
  <si>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</si>
  <si>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Финансовое обеспечение деятельности министерства труда и социального развития  Краснодарского края и управлений социальной защиты населения министерства  труда и социального развития Краснодарского края в муниципальных образованиях Краснодарского края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</si>
  <si>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</si>
  <si>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</si>
  <si>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</si>
  <si>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 xml:space="preserve">Пенсии за выслугу лет лицам, замещавшим должности государственной гражданской службы Краснодарского края </t>
  </si>
  <si>
    <t>человек</t>
  </si>
  <si>
    <t>выполнено</t>
  </si>
  <si>
    <t>1.1.1.2</t>
  </si>
  <si>
    <t>Пособия отдельным категориям работников Краснодарского края в соответствии с Законом Краснодарского края                                                            от  21 июля 2005 г.                                                    № 921-КЗ "О государственной поддержке отдельных категорий работников Краснодарского края"</t>
  </si>
  <si>
    <t>1.1.1.3</t>
  </si>
  <si>
    <t>Дополнительное материальное обеспечение лиц, замещавших государственные должности Краснодарского края</t>
  </si>
  <si>
    <t>1.1.2.2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</si>
  <si>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                                                                              от 27 марта 2007 г.                                                                                                  № 1209-КЗ "О ежегодной денежной выплате отдельным категориям граждан, подвергшихся радиационным воздействиям, и их семьям"</t>
  </si>
  <si>
    <t>1.1.2.3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</si>
  <si>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настоящего раздела)</t>
  </si>
  <si>
    <t>1.1.2.4</t>
  </si>
  <si>
    <t>Предоставление гражданам государственных единовременных пособий и ежемесячных денежных компенсаций  при возникновении поствакцинальных осложнений</t>
  </si>
  <si>
    <t>1.1.2.5</t>
  </si>
  <si>
    <t>1.3</t>
  </si>
  <si>
    <t>1.1.3.2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</si>
  <si>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 процентов от совокупного дохода семьи</t>
  </si>
  <si>
    <t>семей</t>
  </si>
  <si>
    <t>1.1.3.3</t>
  </si>
  <si>
    <t>1.1.3.4</t>
  </si>
  <si>
    <t>Предоставления мер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                                      от 28 декабря 2015 г.                                            №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</si>
  <si>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>1.1.3.5</t>
  </si>
  <si>
    <t>Компенсация расходов на
оплату жилого помещения и коммунальных услуг
ветеранам труда и ветеранам
военной службы, достигшим
возраста 60 и 55 лет
(соответственно мужчины и женщины), либо после
назначения им пенсии в
территориальных органах
Пенсионного фонда Российской Федерации,
жертвам политических
репрессий, достигшим
возраста 60 и 55 лет
(соответственно мужчины и женщины), либо являющимся
пенсионерами, постоянно
проживающим на территории
Краснодарского края (за
исключением мер социальной
поддержки, предусмотренных
подпунктом 1.1.3.1
настоящего пункта)</t>
  </si>
  <si>
    <t>1.1.4</t>
  </si>
  <si>
    <t>1.1.4.1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</si>
  <si>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                                                           от 5 ноября 2002 г.                                                                       № 537-КЗ "О ежемесячном пособи вдовам  военнослужащих, лиц рядового и начальствующего составаорганов внутренних дел и  сотрудников  органов Федеральной службы безопасности, погибших при исполнении обязанностей военной службы (служебных обязанностей)"</t>
  </si>
  <si>
    <t>1.1.4.2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</si>
  <si>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                                                                 от 7 июня 2004 г.                                                                                          №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</si>
  <si>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1.1.4.3</t>
  </si>
  <si>
    <t>Социальная поддержка инвалидов боевых действий и членов семьи военнослужащих, погибщих при исполнении воинского долга</t>
  </si>
  <si>
    <t>1.5</t>
  </si>
  <si>
    <t>1.1.5.2</t>
  </si>
  <si>
    <t>1.1.5.4</t>
  </si>
  <si>
    <t>1.1.5.5</t>
  </si>
  <si>
    <t>Выплата гражданам пожилого возраста (достигшим возраста 60 и 55 лет (соответственно
мужчины и женщины) либо возраста, дающего право на страховую пенсию по старости в соответствии с частью 1 статьи 8
Федерального закона                                         от 28 декабря 2013 г.                                        № 400-ФЗ "О страховых пенсиях" и одиноким гражданам, страдающим хроническими заболеваниями, неспособным
удовлетворять свои
основные жизненные
потребности, получающим
медико-социальную помощь на дому, в государственных
медицинских организациях, в организациях социального
обслуживания, у граждан,
осуществляющих без
образования юридического лица предпринимательскую
деятельность в сфере
социального обслуживания, в целях льготного обеспечения
протезами, ортопедическими корригирующими изделиями,
слуховыми аппаратами (за
исключением мер социальной
поддержки, предусмотренных
подпунктом 1.1.5.3
настоящего пункта)</t>
  </si>
  <si>
    <t>1.1.6.1</t>
  </si>
  <si>
    <t>Предоставление  лицу, взявшему на себя 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</si>
  <si>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1.1.6.2</t>
  </si>
  <si>
    <t>Возмещение лицу, взявшему на себя обязательства осуществлять погребение, затрат,связанных с погребением умерших реабилитированных лиц</t>
  </si>
  <si>
    <t>1.1.7.2</t>
  </si>
  <si>
    <t>Предоставление единовременной денежной выплаты лицам, награжденным орденом                                                                  "За выдающийся вклад в развитие кубанского казачества"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</si>
  <si>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</si>
  <si>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</si>
  <si>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</si>
  <si>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</si>
  <si>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</si>
  <si>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</si>
  <si>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</si>
  <si>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</si>
  <si>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</si>
  <si>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</si>
  <si>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1.1.9.1</t>
  </si>
  <si>
    <t>Оказание государственной социальной помощи малоимущим семьям, малоимущим одиноко проживающим гражданам</t>
  </si>
  <si>
    <t>1.1.9.2</t>
  </si>
  <si>
    <t>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</t>
  </si>
  <si>
    <t>1.1.10.3</t>
  </si>
  <si>
    <t>1.1.10.4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</si>
  <si>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</si>
  <si>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</si>
  <si>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</si>
  <si>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</si>
  <si>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</si>
  <si>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</si>
  <si>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</si>
  <si>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</si>
  <si>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</si>
  <si>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</si>
  <si>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</si>
  <si>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</si>
  <si>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</si>
  <si>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</si>
  <si>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</si>
  <si>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</si>
  <si>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</si>
  <si>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</si>
  <si>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</si>
  <si>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</si>
  <si>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>на предоставление мер социальной поддержки работников организаций социального обслуживания в соответствии с пунктом                                                        5 части 2 статьи 10 Закона Краснодарского края от 5 ноября 2014 г.  № 3051-КЗ "О социальном обслуживании населения на территории Краснодарского края"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</si>
  <si>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числе:мебелью,                                         оборудованием для психологической поддержки, медицинским, компьютерным, технологическим, 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</si>
  <si>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</si>
  <si>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 xml:space="preserve"> транспортные средства </t>
  </si>
  <si>
    <t>1.1.3.6</t>
  </si>
  <si>
    <t>компьютерных мест</t>
  </si>
  <si>
    <t>1.1.3.7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</si>
  <si>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</t>
  </si>
  <si>
    <t>1.1.3.8</t>
  </si>
  <si>
    <t>Предоставление субсидий государственным и автономным учреждениям на организацию приемной семьи для граждан пожилого возраста и инвалидов</t>
  </si>
  <si>
    <t>1.1.3.9</t>
  </si>
  <si>
    <t xml:space="preserve">технические средства </t>
  </si>
  <si>
    <t>1.1.3.11</t>
  </si>
  <si>
    <t>процент</t>
  </si>
  <si>
    <t>1.1.3.13</t>
  </si>
  <si>
    <t>транспортных средства</t>
  </si>
  <si>
    <t>3</t>
  </si>
  <si>
    <t xml:space="preserve"> Всего по подпрограмме "Совершенствование социальной поддержки семьи и детей" в том числе: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</si>
  <si>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</si>
  <si>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</si>
  <si>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</si>
  <si>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</si>
  <si>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</si>
  <si>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</si>
  <si>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</si>
  <si>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 xml:space="preserve">Выплата пособия на ребенка в соответствии с Законом Краснодарского края от 15 декабря 2004 г.                                                                  № 807-КЗ "О пособии на ребенка"    
</t>
  </si>
  <si>
    <t>1.1.2.6</t>
  </si>
  <si>
    <t>1.1.2.9</t>
  </si>
  <si>
    <t>1.1.2.10</t>
  </si>
  <si>
    <t>Осуществление ежемесячной выплаты в связи с рождением (усыновлением) первого ребенка в соответствии с Федеральным законом от 28 декабря 2017 г.                                                                                                    № 418-ФЗ "О ежемесячных выплатах семьям, имеющим детей" в рамках регионального проекта Краснодарского края "Финансовая поддержка семей при рождении детей"</t>
  </si>
  <si>
    <t>Выплата единовременного денежного поощрения награжденным медалью Краснодарского края "Родительская доблесть"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</si>
  <si>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</si>
  <si>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Ежегодная денежная выплата многодетным семьям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</si>
  <si>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</si>
  <si>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меры социальной поддержки в виде  материнского (семейного) капитала в рамках регионального проекта "Финансовая поддержка семей при рождении детей"</t>
  </si>
  <si>
    <t>Изготовление бланков удо-стоверений многодетной семьи</t>
  </si>
  <si>
    <t>штук</t>
  </si>
  <si>
    <t>1.1.4.4</t>
  </si>
  <si>
    <t>1.1.4.5</t>
  </si>
  <si>
    <t>1.1.4.6</t>
  </si>
  <si>
    <t>1.1.4.7</t>
  </si>
  <si>
    <t>1.1.4.8</t>
  </si>
  <si>
    <t>1.1.5.1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</si>
  <si>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 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</si>
  <si>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</si>
  <si>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</si>
  <si>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</si>
  <si>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</si>
  <si>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</si>
  <si>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</si>
  <si>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аналогичный отчетный период прошлого года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</si>
  <si>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</si>
  <si>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</si>
  <si>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</si>
  <si>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</si>
  <si>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</si>
  <si>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</si>
  <si>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</si>
  <si>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</si>
  <si>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</si>
  <si>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</si>
  <si>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</si>
  <si>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</si>
  <si>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</si>
  <si>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</si>
  <si>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</si>
  <si>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</si>
  <si>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</si>
  <si>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-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</si>
  <si>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</si>
  <si>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</si>
  <si>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</si>
  <si>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</si>
  <si>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</si>
  <si>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</si>
  <si>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</si>
  <si>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</si>
  <si>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</si>
  <si>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</si>
  <si>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</si>
  <si>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</si>
  <si>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</si>
  <si>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</si>
  <si>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</si>
  <si>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</si>
  <si>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</si>
  <si>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</si>
  <si>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</si>
  <si>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</si>
  <si>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</si>
  <si>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</si>
  <si>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</si>
  <si>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</si>
  <si>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</si>
  <si>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</si>
  <si>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</si>
  <si>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</si>
  <si>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</si>
  <si>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</si>
  <si>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</si>
  <si>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</si>
  <si>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</si>
  <si>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</si>
  <si>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</si>
  <si>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</si>
  <si>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</si>
  <si>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</si>
  <si>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</si>
  <si>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</si>
  <si>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</si>
  <si>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</si>
  <si>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</si>
  <si>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</si>
  <si>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</si>
  <si>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</si>
  <si>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</si>
  <si>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</si>
  <si>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</si>
  <si>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</si>
  <si>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</si>
  <si>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</si>
  <si>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</si>
  <si>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</si>
  <si>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</si>
  <si>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</si>
  <si>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</si>
  <si>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 xml:space="preserve">Причины несоблюдения планового срока реализации, неисполнения финансирования и меры по исполнению мероприятия или контрольного события </t>
  </si>
  <si>
    <t>I</t>
  </si>
  <si>
    <t>II</t>
  </si>
  <si>
    <t>III</t>
  </si>
  <si>
    <t>IV</t>
  </si>
  <si>
    <t xml:space="preserve">Основное мерориятие </t>
  </si>
  <si>
    <t xml:space="preserve">31.12.2019
</t>
  </si>
  <si>
    <t>Подпрограмма № 1 "Развитие мер социальной поддержки отдельных категорий граждан"</t>
  </si>
  <si>
    <t>Пособия отдельным категориям работников Краснодарского края в соответствии с Законом Краснодарского края от 21 июля 2005 г.                                                                  № 921-КЗ                                           "О государственной поддержке отдельных категорий работников Краснодарского края"</t>
  </si>
  <si>
    <t>Дополнительное; материальное обеспечение лиц, замещавших государственные должности Краснодарского края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</si>
  <si>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</t>
  </si>
  <si>
    <t>Предоставление гражданам государственных единовременных пособий и ежемесячных денежных компенсаций при возникновении поствакцинальных осложнений</t>
  </si>
  <si>
    <t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– жителям  Краснодарского края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</si>
  <si>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</si>
  <si>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                                                                                                                    от 24 ноября 1995 г.                     № 181-ФЗ "О социальной защите инвалидов в Россий-ской Федерации"; Законами Российской Федерации от 12 января 1995 г. № 5-ФЗ                                        "О ветеранах"                                 от 15 мая 1991 г.                                                                 № 1244-1 "О социальной защите граждан, подвергшихся воздействию радиации вследствие катастрофы на Чернобыльской АЭС"
</t>
  </si>
  <si>
    <t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                                                                                от 28 декабря 2015 г.                             № 3316-КЗ "О мерах,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</si>
  <si>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возраста, дающего право на страховую пенсию по старости в соответствии с Федеральным законом                                       "О страховых пенсиях", жертвам политических репрессий,  постоянно проживающим на территории Краснодарского края 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</si>
  <si>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</si>
  <si>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                                                                                                          от 5 ноября 2002 г.                                    № 537-КЗ                                            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  </t>
  </si>
  <si>
    <t>Социальная поддержка инвалидов боевых действий и членов семей военнослужащих, погибших при исполнении воинского долга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</si>
  <si>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                                                                                  от 25 апреля 2002 г.                           № 40-ФЗ "Об обязательном страховании гражданской ответственности владельцев транспортных средств" 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</si>
  <si>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</si>
  <si>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Предоставление единовременной денежной выплаты лицам, награжденным орденом "За выдающийся вклад в развитие кубанского казачества"</t>
  </si>
  <si>
    <t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от 20 июля 2012 г.                                                          № 125-ФЗ "О донорстве крови и ее компонентов"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</si>
  <si>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 1-3 статьи 4, части 2 статьи 6 Закона Краснодарского края      от 5 мая 2006 г.                  № 1026-КЗ "О статусе Героев Кубани и Героев труда Кубани"</t>
  </si>
  <si>
    <t>Предоставление пособий на оплату проезда лицам, нуждающимся в проведении гемодиализа в соответствии с Законом Краснодарского края                                                                                                                          от 6 февраля 2008 г.                                                                                        № 1388-КЗ "О выплате пособий на оплату проезда лицам, нуждающимся в проведении гемодиализа"</t>
  </si>
  <si>
    <t xml:space="preserve">Контрольное событие 1.2
Оказание мер социальной поддержки отдельным категориям граждан
</t>
  </si>
  <si>
    <t>Подпрограмма № 2 "Модернизация и развитие социального обслуживания населения"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</si>
  <si>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</si>
  <si>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                                                                                        от 5 ноября 2014 г.                                                                                                                                № 3051-КЗ                                        "О социальном обслуживании населения на территории Краснодарского края"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</si>
  <si>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</si>
  <si>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</si>
  <si>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</si>
  <si>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возраста: и (или) инвалидов: проведение экскурсий, посещение памятных мест, учреждений культуры, исторических памятников</t>
  </si>
  <si>
    <t>Предоставление субсидий государственным бюджетным и автономным учреждениям на организацию приемной семьи для граждан пожилого возраста и инвалидов</t>
  </si>
  <si>
    <t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 социального развития Краснодарского края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</si>
  <si>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"Реконструкция очистных сооружений ГБУ СО КК Терновский психоневрологический интернат, Тихорецкий район, ст. Терновская"</t>
  </si>
  <si>
    <t>1.1.3.14</t>
  </si>
  <si>
    <t xml:space="preserve">Контрольное событие 2.1
Рост соотношения средней заработной платы социальных работников государственных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</si>
  <si>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начальник планово-финансового отдела 
Печонова Е.И.
</t>
  </si>
  <si>
    <t xml:space="preserve">Контрольное событие 2.4
Работа мобильных бригад в государственных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</si>
  <si>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</si>
  <si>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</si>
  <si>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</si>
  <si>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</si>
  <si>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</si>
  <si>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крае, по</t>
  </si>
  <si>
    <t>Выплата пособия на ребенка в соответствии с Законом Краснодарского края от 15 декабря 2004 г.                                                                                       № 807-КЗ "О пособии на ребенка"</t>
  </si>
  <si>
    <t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                                                      с 1 января 2013 г.                                                                                   по 31 декабря 2018 г., до достижения ими возраста трех лет в соответствии с Законом Краснодарского края от 1 августа 2012 г.                                                                           № 2568-КЗ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                                                             с 1 января 2019 г.                                                                    по 31 декабря 2021 г. в соответствии с Законом Краснодарского края                                                              от 21 декабря 2018 г.                                                                                      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</t>
  </si>
  <si>
    <t>Ежегоная денежная выплата многодетным семьям</t>
  </si>
  <si>
    <t>Предоставление меры социальной поддержки в виде  материнского (семейного) капитала в рамках регионального проекта Краснодарского края"Финансовая поддержка семей при рождении детей"</t>
  </si>
  <si>
    <t>Изготовление бланков удостоверений многодетной семье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</si>
  <si>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</t>
  </si>
  <si>
    <t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от 15 декабря 2004 г.                                 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</si>
  <si>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Предоставление субвенций местным: бюджетам муниципальных образований Краснодарского края в соответствии с Законом Краснодарского края                                          от 29 декабря 2007 г.                                                        № 1372-КЗ                                                 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
по организации и осуществлению деятельности по опеке и попечительству в отношении несовершеннолетних, за исключением полномочий по 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</si>
  <si>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                              от 13 ноября 2006 г.                                                                                                                                                      № 1132-КЗ                                                                                                                                                                                                                                                                   "О комиссиях по делам несовершеннолетних и защите их прав в Краснодарском крае" 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</si>
  <si>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</si>
  <si>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</si>
  <si>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Контрольное 
событие 3.2
Оказание мер социальной поддержки гражданам, имеющим детей 
</t>
  </si>
  <si>
    <t>Итого по государственной программе:</t>
  </si>
  <si>
    <t xml:space="preserve">Ежемесячные денежные                   выплаты ветеранам труда и
ветеранам военной службы,
достигшим возраста 60 и 55 лет (соответственно мужчины и женщины), либо после
назначения им пенсии в
территориальных органах Пенсионного фонда Российской Федерации, жертвам политических
репрессий, достигшим
возраста 60 и 55 лет
(соответственно мужчины и женщины), либо являющимся
пенсионерами, труженикам
тыла, - жителям
Краснодарского края (за
исключением мер социальной
поддержки, предусмотренных
подпунктом 1.1.2.1
настоящего пункта)
</t>
  </si>
  <si>
    <t xml:space="preserve"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 края от 5 мая 2006 г. № 1026-КЗ "О статусе Героев Кубани и Героев труда Кубани" </t>
  </si>
  <si>
    <t>Показатель расчитывается Росстатом ежегодно, 1-я оценка (предварительная) - 15 марта; 2-я оценка (уточненная) - 29 апреля;
3-я оценка - 29 декабря.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</si>
  <si>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                                                    № 418-ФЗ "О ежемесячных выплатах семьям, имеющим детей» в рамках регионального проекта Краснодарского края "Финансовая поддержка семей при рождении детей"                                                                                                   </t>
  </si>
  <si>
    <t>Начальник отдела реализации национальных проектов и государственных программ</t>
  </si>
  <si>
    <t>О.Г. Лычагина</t>
  </si>
  <si>
    <t>Предоставление пособий на оплату проезда лицам, нуждающимся в проведении гемодиализа в соответствии с Законом Краснодарского края                                                                           от  6 февраля 2008 г.                                                                                                                                                                 № 1388-КЗ "О выплате пособий на оплату проезда лицам, нуждающимся в проведении гемодиализа"</t>
  </si>
  <si>
    <t>Предоставление ежегодной денежной выплаты лицам, награжденных нагрудным знаком "Почетный донор России", "Почетный донор СССР" в соответствии с Федеральным законом от 20 июля 2012 г.                                                                      № 125-ФЗ "О донорстве крови и ее компонентов"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</si>
  <si>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
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 </t>
  </si>
  <si>
    <t>Предоставление субвенций местным бюджетам муниципальных, образований Краснодарского края в соответствии с Законом Краснодарского края                                                                    от 15 декабря 2004 г.                                                               № 805-КЗ "О наделении 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</si>
  <si>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                                         от 19 мая 1995 г. № 81-ФЗ "О государственных пособиях гражданам, имеющим детей"   </t>
  </si>
  <si>
    <t xml:space="preserve">Начальник отдела реализации национальных                                                                 проектов и государственных программ                                                     </t>
  </si>
  <si>
    <t>Предоставление инвалидам (в том числе детям-инвалидам), 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                                                                     № 40-ФЗ "О обязательном страховании гражданской ответственности владельцев транспортных средств"</t>
  </si>
  <si>
    <t xml:space="preserve">Предоставление ежемесячной денежной выплаты гражданам,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                                                                            от 5 мая 2006 г. № 1026-КЗ "О статусе Героев Кубани и Героев труда Кубани" 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</si>
  <si>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</si>
  <si>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</si>
  <si>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</si>
  <si>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</si>
  <si>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</si>
  <si>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</si>
  <si>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1.1.11.1</t>
  </si>
  <si>
    <t>Предоставление единовременной денежной выплаты на улучшение жилищных условий граждан, имеющих право на меры социальной поддержки в соответствии со статьями 14,15,21 (в части предоставления мер социальной поддержки членам семьи погибшим (умерших) инвалидов и участников Великой Отечественной войны) Федерального закона "О ветеранах"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</si>
  <si>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 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</si>
  <si>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«Павловский психоневрологичес-кий интернат на 150 мест в хут. Новонекрасовкий Приморско-Ахтарского района»</t>
  </si>
  <si>
    <t>43</t>
  </si>
  <si>
    <t>8247</t>
  </si>
  <si>
    <t>начало работ по реконструкции</t>
  </si>
  <si>
    <t xml:space="preserve">разработка проектной документации, проведение инженерных изысканий
</t>
  </si>
  <si>
    <t>Заключено государственных и муниципальных контрактов на отчетную дату, тыс. рублей</t>
  </si>
  <si>
    <t>Причины неосовения средств по мероприятию</t>
  </si>
  <si>
    <t>Объем финансирования, предусмотренный государственной программой на текущий год, тыс. рублей</t>
  </si>
  <si>
    <t>Показатель расчитывается Федеральной службой государственной статистики (Росстат) ежегодно, 1-я оценка (предварительная) - 15 марта; 2-я оценка (окончательная) - 15 августа.</t>
  </si>
  <si>
    <t>в стадии реализации</t>
  </si>
  <si>
    <t xml:space="preserve">09.01.2020
</t>
  </si>
  <si>
    <t xml:space="preserve">31.12.2020
</t>
  </si>
  <si>
    <t xml:space="preserve">09.01.2020 
</t>
  </si>
  <si>
    <t xml:space="preserve">09.01.2020 
</t>
  </si>
  <si>
    <t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                                    № 1457-КЗ "О компенсации расходов, связанных с эксплуатацией транспортных средств, некоторым категориям жителей Краснодарского края"</t>
  </si>
  <si>
    <t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                                                                  № 1026-КЗ "О статусе Героев Кубани и Героев труда Кубани"</t>
  </si>
  <si>
    <t xml:space="preserve">01.04.2020 
</t>
  </si>
  <si>
    <t xml:space="preserve">01.07.2020 
</t>
  </si>
  <si>
    <t>начальник планово-финансового отдела Печонова Е.И.,                      начальник отдела по вопросам капитального ремонта и строительства Ярошенко Н.Н.</t>
  </si>
  <si>
    <t>ежегодно, до 1 июня</t>
  </si>
  <si>
    <t>ежегодно, 1-я оценка (предварительная) - 15 марта; 2-я оценка (окончательная) - 15 августа</t>
  </si>
  <si>
    <t>показатель расчитывается по итогам года</t>
  </si>
  <si>
    <t>х</t>
  </si>
  <si>
    <t>Заявительный порядок обращения. Достижение значения непосредственного результата предусмотрено до конца 2020 г.</t>
  </si>
  <si>
    <t>Достижение значения непосредственного результата предусмотрено до конца 2020 г.</t>
  </si>
  <si>
    <t xml:space="preserve">Заявительный порядок обращения (выплата осуществляется согласно фактически поданным документам). Выполнение мероприятия запланировано на 4 квартал. </t>
  </si>
  <si>
    <t xml:space="preserve">Заявительный порядок обращения. Достижение значения непосредственного результата предусмотрено до конца 2020 г. </t>
  </si>
  <si>
    <t>Заявительный порядок обращения</t>
  </si>
  <si>
    <t>достижение показателя запланировано на конец 2020 года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</si>
  <si>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1 633,6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</si>
  <si>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700,0 тыс. рублей. Освоение запланировано на 3  квартал 2020 г.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</si>
  <si>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 № 1209-КЗ "О ежегодной денежной выплате отдельным категориям граждан, подвергшихся радиационным воздействиям, и их семьям"</t>
  </si>
  <si>
    <t>Предоставление 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№ 1457-КЗ "О компенсации расходов,  связанных с эксплуатацией транспортных средств, некоторым категориям жителей Краснодарского края"</t>
  </si>
  <si>
    <t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региональногопроекта Краснодарского края "Разработка и реализация программы системной
поддержки и повышения качества жизни граждан старшего поколения Старшее поколение"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</si>
  <si>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№ 4015-КЗ
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</si>
  <si>
    <t>1.1.10.2</t>
  </si>
  <si>
    <t>1.1.2.12</t>
  </si>
  <si>
    <t>Ежемесячная денежная выплата на ребенка в возрасте от трех до семи лет включительно</t>
  </si>
  <si>
    <t>2.3.8</t>
  </si>
  <si>
    <t>Доля детей в возрасте от трех до семи лет включительно, в отношении которых произведена ежемесячная денежная выплата, в общей численности детей этого возраста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</si>
  <si>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                       от 29 декабря 2007 г.                                                                                     №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 оставшихся  без попечения родителей </t>
  </si>
  <si>
    <t>Проектно-сметная документация разработана ненадлежащим образом, государственный контракт расторгнут заказчиком в одностороннем порядке. Между заказчиком и подрядчиком ведутся судебные разбирательства.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</si>
  <si>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1 246,3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</si>
  <si>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7 908,9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</si>
  <si>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533,6 тыс. рублей. Освоение запланировано на 3  квартал 2020 г.</t>
  </si>
  <si>
    <t xml:space="preserve">Выполнение мероприятия запланировано на 3 квартал                               2019 г. 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</si>
  <si>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17 241,4 тыс. рублей. Освоение запланировано на 3  квартал 2020 г.</t>
  </si>
  <si>
    <t>за первое полугодие 2020 года</t>
  </si>
  <si>
    <r>
      <t xml:space="preserve">   за первое полугодие 2020 года</t>
    </r>
    <r>
      <rPr>
        <sz val="14"/>
        <color theme="0"/>
        <rFont val="Times New Roman"/>
        <family val="1"/>
        <charset val="204"/>
      </rPr>
      <t>.</t>
    </r>
  </si>
  <si>
    <t>Непосредственный результат не выполнен, в связи с тем, что средная стоимость одного бланка составила 29,28 рублей по итогам электронного аукциона. Планируемая стоимость 27 рублей.</t>
  </si>
  <si>
    <t>Пономаренко</t>
  </si>
  <si>
    <t>Ролик</t>
  </si>
  <si>
    <t>Чернышева</t>
  </si>
  <si>
    <t>ролик</t>
  </si>
  <si>
    <t>талькова</t>
  </si>
  <si>
    <t>луценко С.В.</t>
  </si>
  <si>
    <t>Ярошенко</t>
  </si>
  <si>
    <t>Луценко С.В.</t>
  </si>
  <si>
    <t>Исаева</t>
  </si>
  <si>
    <t>пономаренко</t>
  </si>
  <si>
    <t>Голыба</t>
  </si>
  <si>
    <t>Босенко</t>
  </si>
  <si>
    <t>Печонова</t>
  </si>
  <si>
    <t>Панченко</t>
  </si>
  <si>
    <t>Шульга</t>
  </si>
  <si>
    <t>Численность перевезенных несовершеннолетних зависит от фактической потребности в оказании услуги</t>
  </si>
  <si>
    <t xml:space="preserve">Снижение показателя связано увеличением численности воспитанников выведенных по другим формам устройства - предварительная опека, достигших совершеннолетия, выбывших к месту обучения после каникул и др. </t>
  </si>
  <si>
    <t xml:space="preserve">ГБУСОКК "Славянский КЦСОН" примобретен автомобиль 29.06.2020;                                  ГБУСОКК "Ленинградский КЦСОН" приобретение автомобиля запаланировано на 10.07.2020  </t>
  </si>
  <si>
    <t>5795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</si>
  <si>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37,8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</si>
  <si>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22 428,5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</si>
  <si>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803 195,7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</si>
  <si>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129 942,9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</si>
  <si>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2 371,8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</si>
  <si>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9 045,2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</si>
  <si>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588,1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</si>
  <si>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82 091,2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</si>
  <si>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208,1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</si>
  <si>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1 278 389,0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</si>
  <si>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550 843,0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</si>
  <si>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2 105 588,7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</si>
  <si>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219,1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</si>
  <si>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2 158 562,0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</si>
  <si>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2 691,7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</si>
  <si>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5 923,4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</si>
  <si>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2 120,5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</si>
  <si>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53,7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</si>
  <si>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329,7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</si>
  <si>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2 424,9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</si>
  <si>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182,5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</si>
  <si>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11 236,1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</si>
  <si>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33 512,2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</si>
  <si>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1 663,0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</si>
  <si>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8 350,9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</si>
  <si>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</si>
  <si>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21 101,9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</si>
  <si>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1 015 909,7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</si>
  <si>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12 562,0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</si>
  <si>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463 458,5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</si>
  <si>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3 159,0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</si>
  <si>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154 380,6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</si>
  <si>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5 336 431,3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</si>
  <si>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457 555,1 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</si>
  <si>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4 736 614,4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</si>
  <si>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128 629,7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</si>
  <si>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13 632,1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</si>
  <si>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1 000,0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</si>
  <si>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13 033,4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</si>
  <si>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1 440 927,5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</si>
  <si>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268 033,8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</si>
  <si>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107 144,6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</si>
  <si>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42 570,0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</si>
  <si>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170 000,0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</si>
  <si>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514 631,7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</si>
  <si>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207 094,3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</si>
  <si>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14 662,7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</si>
  <si>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2 249 454,8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</si>
  <si>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1 608 499,2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</si>
  <si>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4 062 231,5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</si>
  <si>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4 295 729,5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</si>
  <si>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51 241,5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</si>
  <si>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684 835,8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</si>
  <si>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22 872,5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</si>
  <si>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733 341,3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</si>
  <si>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980 443,4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</si>
  <si>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913 152,1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</si>
  <si>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11 564,4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</si>
  <si>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15 371,1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</si>
  <si>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234 876,6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</si>
  <si>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16 845,4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</si>
  <si>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773,9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</si>
  <si>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108 203,7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</si>
  <si>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11 503,5 тыс. рублей. Освоение запланировано до конца 2020 г.</t>
  </si>
  <si>
    <t>проектно-сметная документация разработана ненадлежащим образом, государственный контракт расторгнут заказчиком в одностороннем порядке. Между заказчиком и подрядчиком ведутся судебные разбирательства.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</si>
  <si>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6 471,4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</si>
  <si>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6 448,3  тыс. рублей. Освоение запланировано до конца 2020 г.</t>
  </si>
  <si>
    <t>Трунов Денис Михайлович,
+7 (861) 259-22-97</t>
  </si>
  <si>
    <t>Предоставление мер социальной поддержки по обеспечению жильем отдельных категорий граждан, установленных Федеральным законом                  от 12 января 1995 г. № 5-ФЗ «О ветеранах» (пунктом 2 части 3 статьи 23.2),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</si>
  <si>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завершение ремонтно-строительных работ предусмотрено в 3-4 кв. 2020 г.</t>
  </si>
  <si>
    <t>предусмотрено приобретение трех транспортных средств для ГБУ СО КК "Сочинский КЦСОН "Адлерского района" и                                                             ГБУ СО КК "Отрадненский КЦСОН" в 3 квартале 2020 г.</t>
  </si>
  <si>
    <t xml:space="preserve">начальник 
планово-финансового отдела 
Печонова Е.И.,
начальник отдела организации назначения и выплаты государственных гарантий и компенсаций
Пономаренко Н.Ю.
</t>
  </si>
  <si>
    <t xml:space="preserve">начальник планово-финансового отдела Печонова Е.И.,                          начальник 
отдела организации адресного 
предоставления льгот и субсидий 
Ролик Н.И.
</t>
  </si>
  <si>
    <t xml:space="preserve">начальник 
планово-финансового отдела 
Печонова Е.И.,  начальник 
отдела организации адресного 
предоставления льгот и субсидий 
Ролик Н.И.
</t>
  </si>
  <si>
    <t>управления социальной защиты населения Краснодарского края</t>
  </si>
  <si>
    <t>Показатель не выполнен, связи с тем, что стоимость 1 бланка по итогам электронного аукциона выросла на 2 руб. 28 коп. (с 27 рублей до 29,28 рублей). Плановое значение рассчитывалось исходя из стоимости 1 бланка - 27 рублей. В ГП будут внесены  изменения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</si>
  <si>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20 000,0 тыс. рублей. Освоение запланировано до конца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</si>
  <si>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32 910,0 тыс. рублей. Освоение запланировано до конца 2020 г.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</si>
  <si>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
Пономаренко Н.Ю.
</t>
  </si>
  <si>
    <t>начальник планово-финансового отдела Печонова Е.И.,
начальник отдела организации назначения и выплаты государственных гарантий и компенсаций
Пономаренко Н.Ю.</t>
  </si>
  <si>
    <t xml:space="preserve">начальник планово-финансового отдела Печонова Е.И.
</t>
  </si>
  <si>
    <t xml:space="preserve">начальник планово-финансового отдела Печонова Е.И.,                            начальник отдела организации 
адресного предоставления льгот и субсидий Ролик Н.И.
</t>
  </si>
  <si>
    <t>начальник планово-финансового отдела Печонова Е.И.,                          начальник отдела организации адресного предоставления льгот и субсидий Ролик Н.И.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</si>
  <si>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 Пономаренко Н.Ю. 
</t>
  </si>
  <si>
    <t xml:space="preserve">начальник планово-финансового отдела Печонова Е.И.,
начальник отдела организации назначения и выплаты государственных гарантий и компенсаций Пономаренко Н.Ю. 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</si>
  <si>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                   от 7 июня 2004 г. № 719-КЗ                                                                                                                               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</si>
  <si>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 xml:space="preserve">начальник планово-финансового отдела Печонова Е.И.,                          начальник отдела организации 
адресного предоставления льгот и субсидий Ролик Н.И. 
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</si>
  <si>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
</t>
  </si>
  <si>
    <t>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</si>
  <si>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 xml:space="preserve">начальник планово-финансового отдела Печонова Е.И.,                        начальник отдела организации адресного предоставления льгот и субсидий Ролик Н.И. 
</t>
  </si>
  <si>
    <t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              № 4015-КЗ "О ежемесячной вы-плате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</si>
  <si>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 
</t>
  </si>
  <si>
    <t xml:space="preserve">Предоставление дополнительной меры социальной поддержки  по оплате проезда на автомобильном транспорте общего пользования в междугородном сообщении и поездах дальнего следования
к месту реабилитации (туда и обратно) инвалидам по зрению и лицам, сопровождающим инва-лидов по зрению                              1 группы, при их сопровождении 
к месту реабилитации (туда и обратно) и от места реабилитации (туда и обратно)
</t>
  </si>
  <si>
    <t xml:space="preserve">начальник планово-финансового отдела Печонова Е.И.,                           начальник отдела организации 
адресного предоставления льгот и субсидий Ролик Н.И. 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</si>
  <si>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маршрутах регулярных перевозок в городском,</t>
  </si>
  <si>
    <t xml:space="preserve">пригородном, междугородном          сообщениях, межмуниципальных маршрутах регулярных перевозок в пригородном сообщении, а также на смежных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№ 987-КЗ «О дополнительных мерах социальной поддержки 
по оплате проезда 
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</si>
  <si>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
по оплате проезда 
отдельных категорий жителей Краснодарского края, установленных Законом Краснодарского края от 13 февраля 2006 г.
№ 987-КЗ «О дополнительных 
мерах социальной 
поддержки по оплате проезда отдельных категорий жителей Краснодарского края на 2006 – 2023 годы» (за исключением мер социал-ной поддержки, пред-смотренных подпунктом 1.1.8.4 настоящего пункта)
                             </t>
  </si>
  <si>
    <t xml:space="preserve">начальник планово-финансового отдела Печонова Е.И.,                        начальник отдела организации 
адресного предоставления льгот и субсидий Ролик Н.И. </t>
  </si>
  <si>
    <t xml:space="preserve">начальник планово-финансового отдела Печонова Е.И.,
начальник отдела по делам 
ветеранов Чернышева Е.В. </t>
  </si>
  <si>
    <t xml:space="preserve">начальник планово-финансового отдела Печонова Е.И.,
начальник отдела по делам 
ветеранов Чернышева Е.В. 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</si>
  <si>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№ 5-ФЗ «О ветеранах» (пунктом 3 части 3 статьи 23.2) (за исключением мер социальной поддержки, предусмотренных под-пунктом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</si>
  <si>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
от 24 ноября 1995 г. 
№ 181-ФЗ «О социальной защите инвалидов в Российской Федерации» (статья 28.2) 
(за исключением мер социальной поддержки, предусмотренных подпунктом 1.1.10.1 нас-тоящего пункта)
</t>
  </si>
  <si>
    <t>начальник планово-финансового отдела Печонова Е.И., 
начальник отдела организации адресного предоставления льгот и субсидий Ролик Н.И.</t>
  </si>
  <si>
    <t xml:space="preserve">Предоставление дополнительной меры социальной поддержки по улучшению жилищных условий (ремонт, повыше-ние уровня благоустройства жилых помещений) граждан, имеющих право на меры социальной поддержки в соответствии со статьями 14, 15, а также 
статьей 21 (в части предоставления мер социальной поддержки членам семьи погибших (умерших) инвалидов и участников Великой Отече-ственной войны) Федерального закона «О ветеранах»
</t>
  </si>
  <si>
    <t xml:space="preserve">Контрольное событие 1.1                                                                                                Оформление документов на право пользование мерами социальной поддержки отдельным категориям граждан, по вопросам отнесенным к компетенции органов государственной власти Краснодарского края
</t>
  </si>
  <si>
    <t xml:space="preserve">начальник планово-финансового отдела Печонова Е.И.,                          начальник отдела по делам ветеранов 
Чернышева Е.В.,
начальник отдела организации назначения и выплаты государственных гарантий и компенсаций Пономаренко Н.Ю.,
начальник отдела организации адресного предоставления льгот и субсидий Ролик Н.И.
</t>
  </si>
  <si>
    <t xml:space="preserve">начальник планово-финансового отдела Печонова Е.И.
</t>
  </si>
  <si>
    <t xml:space="preserve">начальник планово-финансового отдела Печонова Е.И.,
Начальник отдела организации деятельности домов-интернатов 
Талькова Т.Н.
</t>
  </si>
  <si>
    <t xml:space="preserve">начальник планово-финансового отдела Печонова Е.И.,
заместитель начальника отдела организации социального обслуживания Луценко С.В.
</t>
  </si>
  <si>
    <t xml:space="preserve">начальник планово-финансового отдела Печонова Е.И.,
заместитель начальника 
отдела организации социального обслуживания Луценко С.В.
</t>
  </si>
  <si>
    <t xml:space="preserve">начальник планово-финансового отдела Печонова Е.И.,
заместитель начальника 
отдела организации социального обслуживания Луценко С.В.
</t>
  </si>
  <si>
    <t xml:space="preserve">начальник планово-финансового отдела Печонова Е.И.,
начальник отдела по вопросам 
капитального ремонта и строительства Ярошенко Н.Н.
</t>
  </si>
  <si>
    <t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 проекта Краснодарского края «Разработка и реализация программы системной поддержки и повышения качества жизни граждан старшего поколения «Старшее поколение»</t>
  </si>
  <si>
    <t>Начальник планово-финансового отдела Печонова Е.И.,
заместитель начальника 
отдела организации социального обслуживания Луценко С.В.</t>
  </si>
  <si>
    <t xml:space="preserve">начальник планово-финансового отдела Печонова Е.И.,
заместитель начальника 
отдела организации социального обслуживания Луценко С.В.
</t>
  </si>
  <si>
    <t xml:space="preserve"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региональногопроекта Краснодарского края "Разработка и реализация программы системной поддержки и повышения качества жизни гражданстаршего поколения "Старшее поколение"
</t>
  </si>
  <si>
    <t xml:space="preserve">начальник планово-финансового отдела Печонова Е.И.,
начальник отдела по вопросам капитального ремонта и строительства Ярошенко Н.Н.
</t>
  </si>
  <si>
    <t xml:space="preserve">Контрольное событие 2.2
Завершение проектно-изыскательных работ для реконструкции очистных сооружений в ГБУ СО КК «Терновский психоневрологический интернат», Тихорецкий район, ст. Терновская
</t>
  </si>
  <si>
    <t xml:space="preserve">начальник планово-финансового отдела Печонова Е.И.,
начальник отдела организации 
деятельности домов-интернатов в
Талькова Т.Н.
</t>
  </si>
  <si>
    <t xml:space="preserve">Контрольное событие 2.3
Развитие материально-технической базы учреждений, обслуживающих пожилых людей и инвалидов в различных условиях социальной сферы
</t>
  </si>
  <si>
    <t>Контрольное событие 2.5
Разработка проектно-изыскательных работ для осуществления капитальных вложений в объект капитального строительства государственной собственности «Павловский психоневрологический интернат на 150 мест в 
хут. Новонекрасовкий Приморско-Ахтарского района</t>
  </si>
  <si>
    <t xml:space="preserve">начальник планово-финансового отдела Печонова Е.И.,
начальник отдела организации и реабилитации инвалидов 
Шульга И.А., 
начальник отдела организации деятельности учреждений для несовершеннолетних Исаева И.Г.
</t>
  </si>
  <si>
    <t>начальник планово-финансового отдела Печонова Е.И.,
заместитель начальника отдела организации оздоровления и отдыха детей в управлении оздоровления и отдыха детей   Левченко В.Е.,
начальник отдела организации деятельности учреждений для несовершеннолетних Исаева И.Г.</t>
  </si>
  <si>
    <t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                        от 16 июля 2013 г.                                                                            № 2770-КЗ "Об образовании в Краснодарском крае"</t>
  </si>
  <si>
    <t xml:space="preserve"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
</t>
  </si>
  <si>
    <t>заключению врача полноценным питанием  посредством бесплатного предоставления специализированных продуктов детского питания в соответствии с Законом Краснодарского края                  от 30 июня 1997 г. № 90-КЗ "Об охране здоровья населения Краснодарского края"</t>
  </si>
  <si>
    <t xml:space="preserve"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
</t>
  </si>
  <si>
    <t>начальник планово-финансового отдела Печонова Е.И.,
начальник отдела организации 
назначения и выплаты 
государственных гарантий и компенсаций Пономаренко Н.Ю.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</si>
  <si>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 месяцев жизни, родившихся не ранее 1 августа 2014 г. и находящихся на смешанном или искусственном вскармливании, изсемей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                             от 30 июня 1997 г.                                                                      № 90-КЗ "Об охране здоровья населения Краснодарского края"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</si>
  <si>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г.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</si>
  <si>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                                                                                                          от 19 мая 1995 г. № 81-ФЗ                                                                           "О государственных пособиях гражданам, имеющим детей"</t>
  </si>
  <si>
    <t xml:space="preserve">начальник планово-финансового отдела Печонова Е.И.,
начальник отдела по социальной защите семьи, материнства, детства в управлении оздоровления и отдыха детей                                                        Голыба В.Н.
</t>
  </si>
  <si>
    <t xml:space="preserve">начальник планово-финансового отдела Печонова Е.И.,
начальник отдела развития 
семейных форм устройства 
детей-сирот и детей, оставшихся без попечения родителей 
Босенко Ю.Л. 
</t>
  </si>
  <si>
    <t xml:space="preserve">начальник планово-финансового отдела Печонова Е.И.,
начальник отдела развития семейных форм устройства детей-сирот и детей, оставшихся без попечения родителей                         Босенко Ю.Л. </t>
  </si>
  <si>
    <t xml:space="preserve">начальник планово-финансового отдела Печонова Е.И.,
начальник отдела организации 
адресного предоставления льгот и субсидий Ролик Н.И. 
</t>
  </si>
  <si>
    <t xml:space="preserve">начальник отдела по социальной защите семьи, материнства, дет-ства Голыба В.Н.
</t>
  </si>
  <si>
    <t xml:space="preserve">начальника планово-финансового отдела Печонова Е.И.,
начальник отдела развития семейных форм устройства 
детей-сирот и детей, оставшихся без попечения родителей 
Босенко Ю.Л. 
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</si>
  <si>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 с Законом Краснодарского края                      от 15 декабря 2004 г.                 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</si>
  <si>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 xml:space="preserve">начальника планово-финансового отдела Печонова Е.И.,
начальник отдела развития семейных форм устройства 
детей-сирот и детей, оставшихся без попечения родителей 
Босенко Ю.Л. </t>
  </si>
  <si>
    <t xml:space="preserve">приемным родителям за оказание услуг по воспитанию приемных детей, в соответствии с Законом Краснодарского края  от 15 декабря 2004 г.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</t>
  </si>
  <si>
    <t xml:space="preserve">начальник планово-финансового отдела Печонова Е.И.
 </t>
  </si>
  <si>
    <t xml:space="preserve">начальник планово-финансового отдела Печонова Е.И.,
начальник отдела обеспечения деятельности комиссии по делам несовершеннолетних и защите их прав Панченко Р.А.
</t>
  </si>
  <si>
    <t xml:space="preserve">начальник планово-финансового отдела Печонова Е.И.,
начальник отдела организации деятельности учреждений для несовершеннолетних Исаева И.Г.
</t>
  </si>
  <si>
    <t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от 24 июня 1999 г.                                                                                       № 120-ФЗ "Об основах системы профилактики безнадзорности и правонарушений несовершеннолетних"</t>
  </si>
  <si>
    <t xml:space="preserve">начальник планово-финансового отдела Печонова Е.И.,
начальник отдела развития семейных форм устройства 
детейсирот и детей, оставшихся без попечения родителей                                               
Босенко Ю.Л.
</t>
  </si>
  <si>
    <t xml:space="preserve">начальник отдела организации 
адресного предоставления льгот и субсидий Ролик Н.И.,                          начальник отдела по социальной  защите семьи, материнства, детства в управлении 
оздоровления и отдыха детей                                                                                         Голыба В.Н.,                                  начальник отдела развития семейных форм устройства  детей-сирот и детей, оставшихся без попечения родителей               Босенко Ю.Л., </t>
  </si>
  <si>
    <t>начальник отдела организации назначения и выплаты  государственных гарантий и компенсаций Пономаренко Н.Ю., заместитель начальника отдела организации оздоровления и отдыха детей в управлении оздоровления и отдыха детей   Левченко В.Е.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</si>
  <si>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 Краснодарского края                                                                          от 16 июля 2013 г.                                                                                                   № 2770-КЗ "Об образовании в Краснодарском крае"
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</si>
  <si>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</si>
  <si>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>Осуществление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пунктом 3 статьи 25 Федерального закона                                                                                                от 24 июня 1999 г. № 120-ФЗ "Об основах системы профилактики безнадзорности и правонарушений несовершеннолетних"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</si>
  <si>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                                                                                                                                                             от 3 марта 2010 г. №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</si>
  <si>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 Законом Краснодарского края                                                                                  от 13 ноября 2006 г. № 1132-КЗ "О комиссиях по делам несовершеннолет них и защите их прав в Краснодарском крае"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</si>
  <si>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от 15 декабря 2004 г.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</si>
  <si>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                                                                                            по 31 декабря 2018 г., до достижения ими возрастатрех лет в соответствии с Законом Краснодарского края                                                                                                      от 1 августа 2012 г. № 2568-КЗ                                                                                             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                                                              с 1 января 2019 г.  по 31 декабря 2021 г. в соответствии с Законом Краснодарского края                                                                              от 21 декабря 2018 г.                                                                               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 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</si>
  <si>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 , из семей со среднедушевым доходом, размер которого не превышает величину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от 30 июня 1997 г. № 90-КЗ "Об охране здоровья населения Краснодарского края"
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</si>
  <si>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 строительства государственной собственности "Реконструкция очистных сооружений                                                                                                                ГБУ СО КК "Терновский психоневрологический интернат", Тихорецкий район, ст. Терновская</t>
  </si>
  <si>
    <t>Начальник отдела реализации национальных проектов                                                                               и государственных программ</t>
  </si>
  <si>
    <t>4</t>
  </si>
  <si>
    <t>Непосредственный результат реализации мероприятия не выполнен в полном объеме, в связи с тем, что срок реализации единовременной денежной выплаты 9 месяцев. Достижение непосредственного результата запланировано на 3 - 4 квартал 2020 г.</t>
  </si>
  <si>
    <t xml:space="preserve">Предоставление дополнительной меры социальной поддержки 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1 группы, при их сопровождении к месту реабилитации (туда и обратно) и от места реабилитации (туда и обратно)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</si>
  <si>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 транспорте общего пользования на муниципальных маршрутах регулярных перевозок в городском, пригородном, междугородном сообщениях, межмуниципальных маршрутах регулярных перевозок в пригородном сообщении, а также на смежных 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№ 987-КЗ «О дополнительных мерах социальной поддержки по оплате проезда отдельных категорий жителей Краснодарского края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Краснодар-ского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</si>
  <si>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Краснодарского края, установленных Законом Краснодарского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 2023 годы» (за исключением мер социальной поддержки, предусмотренных подпунктом 1.1.8.4 настоящего пункта)
</t>
  </si>
  <si>
    <t>Предоставление мер социальной поддержки по обеспечению жильем отдельных категорий граждан, установленных Федеральным законом от 12 января 1995 г. № 5-ФЗ «О ветеранах» (пунктом 2 части 3 статьи 23.2), в соответствии с Указом Президента Российской Федерации от 7 мая 2008 г.         № 714 «Об обеспечении жильем ветеранов Великой Отечественной войны 1941 - 1945 годов»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</si>
  <si>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№ 5-ФЗ «О ветеранах»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</si>
  <si>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№ 181-ФЗ «О социальной защите инвалидов в Российской Федерации» (статья 28.2) (за исключением мер социальной поддержки, предусмотренных подпунктом 1.1.10.1 настоящего пункта)
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</si>
  <si>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лицами), в соответствии с Федеральным законом от 19 мая 1995 г. № 81-ФЗ "О государственных пособиях гражданам, имеющим детей"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</si>
  <si>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приемным родителям за оказание услуг по воспитанию приемных детей в  соответствии с Законом Краснодарского края                                                                                             от 15 декабря 2004 г. № 805-КЗ         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</si>
  <si>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                   15 декабря 2004 г. № 805-КЗ          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ежемесячных денежных средств на содержание  детей, нуждающихся в особой заботе государства, переданных на патронатное воспитание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</si>
  <si>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                          от 15 декабря 2004 г. № 805-КЗ            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 </t>
  </si>
  <si>
    <t>Предоставление мер социальной поддержки по оплате жилищно - коммунальных услуг отдельным категориям граждан в соответствии сфедеральными законами                                         от 24 ноября 1995 г. № 181-ФЗ "О социальной защите инвалидов в  Российской Федерации"; Законами Российской Федерации от 12 января 1995 г. № 5-ФЗ  "О ветеранах"; от 15 мая 1991 г. № 1244-1 "О социальной защите граждан, подвергшихся воздействию радиации вследствие катастрофы на Чернобыльской АЭС"</t>
  </si>
  <si>
    <t>Выплата гражданам пожилого возраста (достигшие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                                                                                                     от 28 декабря 2013 г.                                                                №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получающим медико-социальную помощь на дому, в учреждениях государственной и муниципальной систем здравоохранения, в учреждениях системы социальной защиты населения, в целях  льготного обеспечения протезами, ортопедическими корригирующими изделиями, слуховыми аппаратами</t>
  </si>
  <si>
    <t>Предоставление субвенций местным бюджетам муниципальных образований Краснодарского края,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                                              от 3 марта 2010 г.                                                №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</si>
</sst>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42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u/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0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32"/>
      <color theme="1"/>
      <name val="Calibri"/>
      <family val="2"/>
      <scheme val="minor"/>
    </font>
    <font>
      <sz val="32"/>
      <name val="Calibri"/>
      <family val="2"/>
      <scheme val="minor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24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 textRotation="90" wrapText="1"/>
    </xf>
    <xf numFmtId="49" fontId="5" fillId="2" borderId="1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164" fontId="2" fillId="2" borderId="0" xfId="0" applyNumberFormat="1" applyFont="1" applyFill="1" applyBorder="1"/>
    <xf numFmtId="165" fontId="3" fillId="2" borderId="0" xfId="0" applyNumberFormat="1" applyFont="1" applyFill="1" applyBorder="1"/>
    <xf numFmtId="49" fontId="6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left" vertical="top"/>
    </xf>
    <xf numFmtId="0" fontId="12" fillId="2" borderId="0" xfId="0" applyFont="1" applyFill="1" applyBorder="1"/>
    <xf numFmtId="0" fontId="5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164" fontId="20" fillId="2" borderId="1" xfId="0" applyNumberFormat="1" applyFont="1" applyFill="1" applyBorder="1" applyAlignment="1">
      <alignment vertical="top" wrapText="1"/>
    </xf>
    <xf numFmtId="49" fontId="17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3" fontId="20" fillId="2" borderId="1" xfId="0" applyNumberFormat="1" applyFont="1" applyFill="1" applyBorder="1" applyAlignment="1">
      <alignment horizontal="center" vertical="top" wrapText="1"/>
    </xf>
    <xf numFmtId="3" fontId="22" fillId="2" borderId="1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top" wrapText="1"/>
    </xf>
    <xf numFmtId="166" fontId="20" fillId="2" borderId="1" xfId="0" applyNumberFormat="1" applyFont="1" applyFill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vertical="top" wrapText="1"/>
    </xf>
    <xf numFmtId="49" fontId="17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top" wrapText="1"/>
    </xf>
    <xf numFmtId="3" fontId="20" fillId="2" borderId="0" xfId="0" applyNumberFormat="1" applyFont="1" applyFill="1" applyBorder="1" applyAlignment="1">
      <alignment horizontal="center" vertical="top" wrapText="1"/>
    </xf>
    <xf numFmtId="49" fontId="23" fillId="2" borderId="0" xfId="0" applyNumberFormat="1" applyFont="1" applyFill="1" applyBorder="1" applyAlignment="1">
      <alignment horizontal="center" vertical="top"/>
    </xf>
    <xf numFmtId="0" fontId="23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top" wrapText="1"/>
    </xf>
    <xf numFmtId="164" fontId="23" fillId="2" borderId="0" xfId="0" applyNumberFormat="1" applyFont="1" applyFill="1" applyBorder="1" applyAlignment="1">
      <alignment horizontal="center" vertical="top" wrapText="1"/>
    </xf>
    <xf numFmtId="49" fontId="26" fillId="2" borderId="0" xfId="1" applyNumberFormat="1" applyFont="1" applyFill="1" applyAlignment="1">
      <alignment horizontal="center"/>
    </xf>
    <xf numFmtId="0" fontId="27" fillId="2" borderId="0" xfId="1" applyFont="1" applyFill="1" applyAlignment="1">
      <alignment horizontal="left"/>
    </xf>
    <xf numFmtId="0" fontId="27" fillId="2" borderId="0" xfId="1" applyFont="1" applyFill="1"/>
    <xf numFmtId="164" fontId="27" fillId="2" borderId="0" xfId="1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0" fontId="26" fillId="2" borderId="0" xfId="1" applyFont="1" applyFill="1" applyBorder="1"/>
    <xf numFmtId="0" fontId="26" fillId="2" borderId="0" xfId="1" applyFont="1" applyFill="1" applyBorder="1" applyAlignment="1">
      <alignment horizontal="left" vertical="top" wrapText="1"/>
    </xf>
    <xf numFmtId="164" fontId="26" fillId="2" borderId="0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top"/>
    </xf>
    <xf numFmtId="0" fontId="26" fillId="2" borderId="0" xfId="1" applyFont="1" applyFill="1" applyAlignment="1">
      <alignment vertical="top"/>
    </xf>
    <xf numFmtId="0" fontId="26" fillId="2" borderId="0" xfId="1" applyFont="1" applyFill="1"/>
    <xf numFmtId="49" fontId="28" fillId="2" borderId="0" xfId="1" applyNumberFormat="1" applyFont="1" applyFill="1" applyBorder="1" applyAlignment="1"/>
    <xf numFmtId="49" fontId="28" fillId="2" borderId="0" xfId="1" applyNumberFormat="1" applyFont="1" applyFill="1" applyBorder="1" applyAlignment="1">
      <alignment horizontal="left"/>
    </xf>
    <xf numFmtId="164" fontId="27" fillId="2" borderId="0" xfId="1" applyNumberFormat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vertical="top"/>
    </xf>
    <xf numFmtId="49" fontId="28" fillId="2" borderId="0" xfId="1" applyNumberFormat="1" applyFont="1" applyFill="1" applyBorder="1" applyAlignment="1">
      <alignment wrapText="1"/>
    </xf>
    <xf numFmtId="49" fontId="28" fillId="2" borderId="0" xfId="1" applyNumberFormat="1" applyFont="1" applyFill="1" applyBorder="1" applyAlignment="1">
      <alignment horizontal="left" wrapText="1"/>
    </xf>
    <xf numFmtId="49" fontId="27" fillId="2" borderId="0" xfId="1" applyNumberFormat="1" applyFont="1" applyFill="1" applyBorder="1" applyAlignment="1">
      <alignment horizontal="center"/>
    </xf>
    <xf numFmtId="49" fontId="27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 vertical="top" wrapText="1"/>
    </xf>
    <xf numFmtId="164" fontId="28" fillId="2" borderId="0" xfId="1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/>
    </xf>
    <xf numFmtId="49" fontId="28" fillId="2" borderId="1" xfId="1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 wrapText="1"/>
    </xf>
    <xf numFmtId="3" fontId="28" fillId="2" borderId="1" xfId="1" applyNumberFormat="1" applyFont="1" applyFill="1" applyBorder="1" applyAlignment="1">
      <alignment horizontal="center" vertical="center" wrapText="1"/>
    </xf>
    <xf numFmtId="0" fontId="28" fillId="2" borderId="0" xfId="1" applyFont="1" applyFill="1" applyBorder="1"/>
    <xf numFmtId="164" fontId="28" fillId="2" borderId="0" xfId="1" applyNumberFormat="1" applyFont="1" applyFill="1" applyBorder="1" applyAlignment="1">
      <alignment horizontal="center" vertical="top"/>
    </xf>
    <xf numFmtId="0" fontId="28" fillId="2" borderId="1" xfId="1" applyFont="1" applyFill="1" applyBorder="1" applyAlignment="1">
      <alignment vertical="top" wrapText="1"/>
    </xf>
    <xf numFmtId="164" fontId="26" fillId="2" borderId="0" xfId="1" applyNumberFormat="1" applyFont="1" applyFill="1" applyBorder="1" applyAlignment="1">
      <alignment vertical="top"/>
    </xf>
    <xf numFmtId="49" fontId="32" fillId="2" borderId="1" xfId="1" applyNumberFormat="1" applyFont="1" applyFill="1" applyBorder="1" applyAlignment="1">
      <alignment horizontal="center" vertical="top" wrapText="1"/>
    </xf>
    <xf numFmtId="0" fontId="34" fillId="2" borderId="0" xfId="1" applyFont="1" applyFill="1" applyBorder="1"/>
    <xf numFmtId="0" fontId="31" fillId="2" borderId="1" xfId="1" applyFont="1" applyFill="1" applyBorder="1" applyAlignment="1">
      <alignment vertical="top" wrapText="1"/>
    </xf>
    <xf numFmtId="164" fontId="26" fillId="2" borderId="0" xfId="1" applyNumberFormat="1" applyFont="1" applyFill="1" applyBorder="1"/>
    <xf numFmtId="0" fontId="26" fillId="2" borderId="0" xfId="1" applyFont="1" applyFill="1" applyBorder="1" applyAlignment="1">
      <alignment horizontal="left"/>
    </xf>
    <xf numFmtId="0" fontId="32" fillId="2" borderId="1" xfId="1" applyFont="1" applyFill="1" applyBorder="1" applyAlignment="1">
      <alignment horizontal="center" vertical="top" wrapText="1"/>
    </xf>
    <xf numFmtId="0" fontId="28" fillId="2" borderId="0" xfId="1" applyFont="1" applyFill="1" applyBorder="1" applyAlignment="1">
      <alignment horizontal="left" vertical="top" wrapText="1"/>
    </xf>
    <xf numFmtId="49" fontId="27" fillId="2" borderId="1" xfId="1" applyNumberFormat="1" applyFont="1" applyFill="1" applyBorder="1" applyAlignment="1">
      <alignment horizontal="center" vertical="top" wrapText="1"/>
    </xf>
    <xf numFmtId="49" fontId="28" fillId="2" borderId="1" xfId="1" applyNumberFormat="1" applyFont="1" applyFill="1" applyBorder="1" applyAlignment="1">
      <alignment vertical="top" wrapText="1"/>
    </xf>
    <xf numFmtId="49" fontId="28" fillId="2" borderId="1" xfId="1" applyNumberFormat="1" applyFont="1" applyFill="1" applyBorder="1" applyAlignment="1">
      <alignment horizontal="center"/>
    </xf>
    <xf numFmtId="49" fontId="36" fillId="2" borderId="0" xfId="1" applyNumberFormat="1" applyFont="1" applyFill="1" applyBorder="1" applyAlignment="1">
      <alignment horizontal="left"/>
    </xf>
    <xf numFmtId="164" fontId="36" fillId="2" borderId="0" xfId="1" applyNumberFormat="1" applyFont="1" applyFill="1" applyBorder="1" applyAlignment="1">
      <alignment horizontal="center"/>
    </xf>
    <xf numFmtId="164" fontId="28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Border="1" applyAlignment="1">
      <alignment horizontal="center" vertical="top" wrapText="1"/>
    </xf>
    <xf numFmtId="49" fontId="15" fillId="2" borderId="0" xfId="1" applyNumberFormat="1" applyFont="1" applyFill="1" applyBorder="1" applyAlignment="1">
      <alignment horizontal="right" wrapText="1"/>
    </xf>
    <xf numFmtId="49" fontId="15" fillId="2" borderId="0" xfId="1" applyNumberFormat="1" applyFont="1" applyFill="1" applyBorder="1" applyAlignment="1">
      <alignment horizontal="left" wrapText="1"/>
    </xf>
    <xf numFmtId="0" fontId="28" fillId="2" borderId="0" xfId="1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164" fontId="34" fillId="2" borderId="0" xfId="1" applyNumberFormat="1" applyFont="1" applyFill="1" applyBorder="1"/>
    <xf numFmtId="164" fontId="32" fillId="2" borderId="0" xfId="1" applyNumberFormat="1" applyFont="1" applyFill="1" applyBorder="1" applyAlignment="1">
      <alignment horizontal="center" vertical="top"/>
    </xf>
    <xf numFmtId="164" fontId="34" fillId="2" borderId="0" xfId="1" applyNumberFormat="1" applyFont="1" applyFill="1" applyBorder="1" applyAlignment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5" fontId="6" fillId="2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right" vertical="top" textRotation="90" wrapText="1"/>
    </xf>
    <xf numFmtId="164" fontId="10" fillId="2" borderId="1" xfId="0" applyNumberFormat="1" applyFont="1" applyFill="1" applyBorder="1" applyAlignment="1">
      <alignment horizontal="right" vertical="top"/>
    </xf>
    <xf numFmtId="164" fontId="11" fillId="2" borderId="1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3" fillId="2" borderId="0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horizontal="left" vertical="top"/>
    </xf>
    <xf numFmtId="49" fontId="28" fillId="2" borderId="0" xfId="1" applyNumberFormat="1" applyFont="1" applyFill="1" applyBorder="1" applyAlignment="1">
      <alignment horizontal="center"/>
    </xf>
    <xf numFmtId="164" fontId="20" fillId="2" borderId="1" xfId="0" applyNumberFormat="1" applyFont="1" applyFill="1" applyBorder="1" applyAlignment="1">
      <alignment horizontal="center" vertical="top" wrapText="1"/>
    </xf>
    <xf numFmtId="164" fontId="33" fillId="2" borderId="1" xfId="1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textRotation="90" wrapText="1"/>
    </xf>
    <xf numFmtId="0" fontId="11" fillId="2" borderId="0" xfId="0" applyFont="1" applyFill="1" applyBorder="1" applyAlignment="1">
      <alignment horizontal="right" vertical="top"/>
    </xf>
    <xf numFmtId="165" fontId="20" fillId="2" borderId="1" xfId="0" applyNumberFormat="1" applyFont="1" applyFill="1" applyBorder="1" applyAlignment="1">
      <alignment horizontal="center" vertical="top" wrapText="1"/>
    </xf>
    <xf numFmtId="0" fontId="39" fillId="2" borderId="0" xfId="0" applyFont="1" applyFill="1"/>
    <xf numFmtId="165" fontId="40" fillId="2" borderId="0" xfId="0" applyNumberFormat="1" applyFont="1" applyFill="1" applyBorder="1"/>
    <xf numFmtId="164" fontId="5" fillId="2" borderId="1" xfId="0" applyNumberFormat="1" applyFont="1" applyFill="1" applyBorder="1" applyAlignment="1">
      <alignment horizontal="center" vertical="top"/>
    </xf>
    <xf numFmtId="164" fontId="39" fillId="2" borderId="0" xfId="0" applyNumberFormat="1" applyFont="1" applyFill="1"/>
    <xf numFmtId="0" fontId="0" fillId="2" borderId="1" xfId="0" applyFill="1" applyBorder="1"/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38" fillId="2" borderId="1" xfId="1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/>
    </xf>
    <xf numFmtId="49" fontId="2" fillId="2" borderId="1" xfId="0" applyNumberFormat="1" applyFont="1" applyFill="1" applyBorder="1"/>
    <xf numFmtId="49" fontId="3" fillId="2" borderId="1" xfId="0" applyNumberFormat="1" applyFont="1" applyFill="1" applyBorder="1"/>
    <xf numFmtId="164" fontId="2" fillId="2" borderId="1" xfId="0" applyNumberFormat="1" applyFont="1" applyFill="1" applyBorder="1"/>
    <xf numFmtId="165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top"/>
    </xf>
    <xf numFmtId="14" fontId="31" fillId="2" borderId="1" xfId="1" applyNumberFormat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left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0" fontId="28" fillId="2" borderId="1" xfId="2" applyFont="1" applyFill="1" applyBorder="1" applyAlignment="1" applyProtection="1">
      <alignment horizontal="center" vertical="top" wrapText="1"/>
    </xf>
    <xf numFmtId="49" fontId="28" fillId="2" borderId="1" xfId="1" applyNumberFormat="1" applyFont="1" applyFill="1" applyBorder="1" applyAlignment="1">
      <alignment horizontal="center" vertical="top"/>
    </xf>
    <xf numFmtId="49" fontId="28" fillId="2" borderId="1" xfId="1" applyNumberFormat="1" applyFont="1" applyFill="1" applyBorder="1" applyAlignment="1">
      <alignment horizontal="left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0" fontId="32" fillId="2" borderId="1" xfId="1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/>
    </xf>
    <xf numFmtId="165" fontId="5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/>
    </xf>
    <xf numFmtId="9" fontId="5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/>
    </xf>
    <xf numFmtId="49" fontId="16" fillId="2" borderId="0" xfId="0" applyNumberFormat="1" applyFont="1" applyFill="1" applyBorder="1" applyAlignment="1">
      <alignment horizontal="left" wrapText="1"/>
    </xf>
    <xf numFmtId="0" fontId="37" fillId="2" borderId="0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vertical="top" wrapText="1"/>
    </xf>
    <xf numFmtId="164" fontId="23" fillId="2" borderId="0" xfId="0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/>
    </xf>
    <xf numFmtId="49" fontId="36" fillId="2" borderId="0" xfId="1" applyNumberFormat="1" applyFont="1" applyFill="1" applyBorder="1" applyAlignment="1">
      <alignment horizontal="left" wrapText="1"/>
    </xf>
    <xf numFmtId="0" fontId="32" fillId="2" borderId="1" xfId="1" applyFont="1" applyFill="1" applyBorder="1" applyAlignment="1">
      <alignment horizontal="left" vertical="top" wrapText="1"/>
    </xf>
    <xf numFmtId="49" fontId="13" fillId="2" borderId="0" xfId="1" applyNumberFormat="1" applyFont="1" applyFill="1" applyBorder="1" applyAlignment="1">
      <alignment horizontal="left" wrapText="1"/>
    </xf>
    <xf numFmtId="164" fontId="31" fillId="2" borderId="1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left" vertical="top" wrapText="1"/>
    </xf>
    <xf numFmtId="14" fontId="31" fillId="2" borderId="1" xfId="1" applyNumberFormat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49" fontId="28" fillId="2" borderId="3" xfId="1" applyNumberFormat="1" applyFont="1" applyFill="1" applyBorder="1" applyAlignment="1">
      <alignment horizontal="left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center" vertical="top" wrapText="1"/>
    </xf>
    <xf numFmtId="164" fontId="28" fillId="2" borderId="1" xfId="1" applyNumberFormat="1" applyFont="1" applyFill="1" applyBorder="1" applyAlignment="1">
      <alignment horizontal="left" vertical="top" wrapText="1"/>
    </xf>
    <xf numFmtId="0" fontId="28" fillId="2" borderId="1" xfId="1" applyFont="1" applyFill="1" applyBorder="1" applyAlignment="1">
      <alignment horizontal="center" vertical="top" wrapText="1"/>
    </xf>
    <xf numFmtId="0" fontId="24" fillId="2" borderId="1" xfId="0" applyFont="1" applyFill="1" applyBorder="1"/>
    <xf numFmtId="0" fontId="33" fillId="2" borderId="1" xfId="1" applyFont="1" applyFill="1" applyBorder="1" applyAlignment="1">
      <alignment horizontal="left" vertical="top" wrapText="1"/>
    </xf>
    <xf numFmtId="49" fontId="28" fillId="2" borderId="1" xfId="1" applyNumberFormat="1" applyFont="1" applyFill="1" applyBorder="1" applyAlignment="1">
      <alignment horizontal="left" vertical="top" wrapText="1"/>
    </xf>
    <xf numFmtId="0" fontId="28" fillId="2" borderId="1" xfId="2" applyFont="1" applyFill="1" applyBorder="1" applyAlignment="1" applyProtection="1">
      <alignment horizontal="center" vertical="top" wrapText="1"/>
    </xf>
    <xf numFmtId="164" fontId="28" fillId="2" borderId="1" xfId="2" applyNumberFormat="1" applyFont="1" applyFill="1" applyBorder="1" applyAlignment="1" applyProtection="1">
      <alignment horizontal="center" vertical="top" wrapText="1"/>
    </xf>
    <xf numFmtId="49" fontId="28" fillId="2" borderId="1" xfId="1" applyNumberFormat="1" applyFont="1" applyFill="1" applyBorder="1" applyAlignment="1">
      <alignment horizontal="center" vertical="top"/>
    </xf>
    <xf numFmtId="164" fontId="28" fillId="2" borderId="0" xfId="1" applyNumberFormat="1" applyFont="1" applyFill="1" applyAlignment="1">
      <alignment horizontal="center"/>
    </xf>
    <xf numFmtId="49" fontId="28" fillId="2" borderId="0" xfId="1" applyNumberFormat="1" applyFont="1" applyFill="1" applyBorder="1" applyAlignment="1">
      <alignment horizontal="center"/>
    </xf>
    <xf numFmtId="49" fontId="28" fillId="2" borderId="0" xfId="1" applyNumberFormat="1" applyFont="1" applyFill="1" applyBorder="1" applyAlignment="1">
      <alignment horizontal="center" wrapText="1"/>
    </xf>
    <xf numFmtId="164" fontId="28" fillId="2" borderId="1" xfId="1" applyNumberFormat="1" applyFont="1" applyFill="1" applyBorder="1" applyAlignment="1">
      <alignment horizontal="center" vertical="center" wrapText="1"/>
    </xf>
    <xf numFmtId="164" fontId="28" fillId="2" borderId="1" xfId="1" applyNumberFormat="1" applyFont="1" applyFill="1" applyBorder="1" applyAlignment="1">
      <alignment horizontal="center" vertical="center"/>
    </xf>
    <xf numFmtId="0" fontId="31" fillId="2" borderId="5" xfId="1" applyFont="1" applyFill="1" applyBorder="1" applyAlignment="1">
      <alignment horizontal="center" vertical="top" wrapText="1"/>
    </xf>
    <xf numFmtId="0" fontId="31" fillId="2" borderId="6" xfId="1" applyFont="1" applyFill="1" applyBorder="1" applyAlignment="1">
      <alignment horizontal="center" vertical="top" wrapText="1"/>
    </xf>
    <xf numFmtId="0" fontId="31" fillId="2" borderId="5" xfId="1" applyFont="1" applyFill="1" applyBorder="1" applyAlignment="1">
      <alignment vertical="top" wrapText="1"/>
    </xf>
    <xf numFmtId="0" fontId="31" fillId="2" borderId="6" xfId="1" applyFont="1" applyFill="1" applyBorder="1" applyAlignment="1">
      <alignment vertical="top" wrapText="1"/>
    </xf>
    <xf numFmtId="164" fontId="31" fillId="2" borderId="5" xfId="1" applyNumberFormat="1" applyFont="1" applyFill="1" applyBorder="1" applyAlignment="1">
      <alignment horizontal="center" vertical="top" wrapText="1"/>
    </xf>
    <xf numFmtId="164" fontId="31" fillId="2" borderId="6" xfId="1" applyNumberFormat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0" fontId="28" fillId="2" borderId="6" xfId="1" applyFont="1" applyFill="1" applyBorder="1" applyAlignment="1">
      <alignment horizontal="center" vertical="top" wrapText="1"/>
    </xf>
    <xf numFmtId="49" fontId="28" fillId="2" borderId="5" xfId="1" applyNumberFormat="1" applyFont="1" applyFill="1" applyBorder="1" applyAlignment="1">
      <alignment horizontal="center" vertical="top" wrapText="1"/>
    </xf>
    <xf numFmtId="49" fontId="28" fillId="2" borderId="6" xfId="1" applyNumberFormat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left" vertical="top" wrapText="1"/>
    </xf>
    <xf numFmtId="0" fontId="28" fillId="2" borderId="6" xfId="1" applyFont="1" applyFill="1" applyBorder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3"/>
  <sheetViews>
    <sheetView view="pageBreakPreview" topLeftCell="A92" zoomScale="30" zoomScaleNormal="40" zoomScaleSheetLayoutView="30" workbookViewId="0">
      <selection activeCell="D94" sqref="A7:AC146"/>
    </sheetView>
  </sheetViews>
  <sheetFormatPr defaultColWidth="9.140625" defaultRowHeight="42" x14ac:dyDescent="0.65"/>
  <cols>
    <col min="1" max="1" width="21.42578125" style="123" customWidth="1"/>
    <col min="2" max="2" width="85.85546875" style="125" customWidth="1"/>
    <col min="3" max="3" width="43.85546875" style="125" customWidth="1"/>
    <col min="4" max="4" width="46" style="133" customWidth="1"/>
    <col min="5" max="5" width="43.140625" style="133" customWidth="1"/>
    <col min="6" max="6" width="16.85546875" style="133" customWidth="1"/>
    <col min="7" max="7" width="13.140625" style="133" customWidth="1"/>
    <col min="8" max="8" width="16" style="133" customWidth="1"/>
    <col min="9" max="9" width="45.5703125" style="133" customWidth="1"/>
    <col min="10" max="10" width="13.85546875" style="133" customWidth="1"/>
    <col min="11" max="11" width="49.85546875" style="133" customWidth="1"/>
    <col min="12" max="12" width="15.5703125" style="133" customWidth="1"/>
    <col min="13" max="13" width="21.7109375" style="133" customWidth="1"/>
    <col min="14" max="14" width="41.7109375" style="133" customWidth="1"/>
    <col min="15" max="15" width="15.28515625" style="133" customWidth="1"/>
    <col min="16" max="16" width="46.7109375" style="133" customWidth="1"/>
    <col min="17" max="17" width="14.85546875" style="133" customWidth="1"/>
    <col min="18" max="18" width="14.5703125" style="133" customWidth="1"/>
    <col min="19" max="19" width="19.85546875" style="133" customWidth="1"/>
    <col min="20" max="20" width="48.7109375" style="133" customWidth="1"/>
    <col min="21" max="21" width="59.7109375" style="123" customWidth="1"/>
    <col min="22" max="22" width="12.42578125" style="123" customWidth="1"/>
    <col min="23" max="23" width="23.5703125" style="123" customWidth="1"/>
    <col min="24" max="24" width="30.28515625" style="124" customWidth="1"/>
    <col min="25" max="25" width="24" style="124" customWidth="1"/>
    <col min="26" max="26" width="80.5703125" style="124" customWidth="1"/>
    <col min="27" max="27" width="76" style="125" hidden="1" customWidth="1"/>
    <col min="28" max="28" width="44.85546875" style="123" hidden="1" customWidth="1"/>
    <col min="29" max="29" width="22.28515625" style="123" hidden="1" customWidth="1"/>
    <col min="30" max="32" width="0" style="123" hidden="1" customWidth="1"/>
    <col min="33" max="33" width="23" style="123" hidden="1" customWidth="1"/>
    <col min="34" max="34" width="24.42578125" style="123" hidden="1" customWidth="1"/>
    <col min="35" max="38" width="9.140625" style="123"/>
    <col min="39" max="39" width="42" style="142" customWidth="1"/>
    <col min="40" max="16384" width="9.140625" style="123"/>
  </cols>
  <sheetData>
    <row r="1" spans="1:39" ht="61.5" x14ac:dyDescent="0.6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"/>
      <c r="AC1" s="2"/>
      <c r="AD1" s="2"/>
    </row>
    <row r="2" spans="1:39" ht="61.5" x14ac:dyDescent="0.65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"/>
      <c r="AC2" s="2"/>
      <c r="AD2" s="2"/>
    </row>
    <row r="3" spans="1:39" ht="61.5" x14ac:dyDescent="0.65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"/>
      <c r="AC3" s="2"/>
      <c r="AD3" s="2"/>
    </row>
    <row r="4" spans="1:39" x14ac:dyDescent="0.65">
      <c r="A4" s="193" t="s">
        <v>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"/>
      <c r="AC4" s="2"/>
      <c r="AD4" s="2"/>
    </row>
    <row r="5" spans="1:39" ht="61.5" x14ac:dyDescent="0.65">
      <c r="A5" s="194" t="s">
        <v>365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"/>
      <c r="AC5" s="2"/>
      <c r="AD5" s="2"/>
    </row>
    <row r="6" spans="1:39" x14ac:dyDescent="0.65">
      <c r="A6" s="3"/>
      <c r="B6" s="4"/>
      <c r="C6" s="5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5"/>
      <c r="V6" s="3"/>
      <c r="W6" s="3"/>
      <c r="X6" s="6"/>
      <c r="Y6" s="6"/>
      <c r="Z6" s="3"/>
      <c r="AA6" s="5"/>
      <c r="AB6" s="1"/>
      <c r="AC6" s="2"/>
      <c r="AD6" s="2"/>
    </row>
    <row r="7" spans="1:39" ht="86.25" customHeight="1" x14ac:dyDescent="0.65">
      <c r="A7" s="180" t="s">
        <v>4</v>
      </c>
      <c r="B7" s="180" t="s">
        <v>5</v>
      </c>
      <c r="C7" s="180" t="s">
        <v>6</v>
      </c>
      <c r="D7" s="199" t="s">
        <v>325</v>
      </c>
      <c r="E7" s="199"/>
      <c r="F7" s="199"/>
      <c r="G7" s="199"/>
      <c r="H7" s="199"/>
      <c r="I7" s="199" t="s">
        <v>7</v>
      </c>
      <c r="J7" s="199"/>
      <c r="K7" s="199"/>
      <c r="L7" s="199"/>
      <c r="M7" s="199"/>
      <c r="N7" s="199" t="s">
        <v>8</v>
      </c>
      <c r="O7" s="199"/>
      <c r="P7" s="199"/>
      <c r="Q7" s="199"/>
      <c r="R7" s="199"/>
      <c r="S7" s="199"/>
      <c r="T7" s="199" t="s">
        <v>323</v>
      </c>
      <c r="U7" s="180" t="s">
        <v>324</v>
      </c>
      <c r="V7" s="198" t="s">
        <v>9</v>
      </c>
      <c r="W7" s="198"/>
      <c r="X7" s="198"/>
      <c r="Y7" s="198"/>
      <c r="Z7" s="180" t="s">
        <v>10</v>
      </c>
      <c r="AA7" s="182" t="s">
        <v>11</v>
      </c>
      <c r="AB7" s="157"/>
      <c r="AC7" s="20"/>
      <c r="AD7" s="2"/>
    </row>
    <row r="8" spans="1:39" ht="246.75" x14ac:dyDescent="0.65">
      <c r="A8" s="180"/>
      <c r="B8" s="180"/>
      <c r="C8" s="180"/>
      <c r="D8" s="199"/>
      <c r="E8" s="199"/>
      <c r="F8" s="199"/>
      <c r="G8" s="199"/>
      <c r="H8" s="199"/>
      <c r="I8" s="199" t="s">
        <v>12</v>
      </c>
      <c r="J8" s="199"/>
      <c r="K8" s="199"/>
      <c r="L8" s="199"/>
      <c r="M8" s="150" t="s">
        <v>13</v>
      </c>
      <c r="N8" s="199"/>
      <c r="O8" s="199"/>
      <c r="P8" s="199"/>
      <c r="Q8" s="199"/>
      <c r="R8" s="199"/>
      <c r="S8" s="199"/>
      <c r="T8" s="199"/>
      <c r="U8" s="180"/>
      <c r="V8" s="198"/>
      <c r="W8" s="198"/>
      <c r="X8" s="198"/>
      <c r="Y8" s="198"/>
      <c r="Z8" s="180"/>
      <c r="AA8" s="182"/>
      <c r="AB8" s="157"/>
      <c r="AC8" s="20"/>
      <c r="AD8" s="2"/>
    </row>
    <row r="9" spans="1:39" ht="327" customHeight="1" x14ac:dyDescent="0.65">
      <c r="A9" s="180"/>
      <c r="B9" s="180"/>
      <c r="C9" s="180"/>
      <c r="D9" s="129" t="s">
        <v>14</v>
      </c>
      <c r="E9" s="129" t="s">
        <v>15</v>
      </c>
      <c r="F9" s="139" t="s">
        <v>16</v>
      </c>
      <c r="G9" s="129" t="s">
        <v>17</v>
      </c>
      <c r="H9" s="129" t="s">
        <v>18</v>
      </c>
      <c r="I9" s="129" t="s">
        <v>14</v>
      </c>
      <c r="J9" s="139" t="s">
        <v>14</v>
      </c>
      <c r="K9" s="129" t="s">
        <v>15</v>
      </c>
      <c r="L9" s="139" t="s">
        <v>15</v>
      </c>
      <c r="M9" s="129" t="s">
        <v>17</v>
      </c>
      <c r="N9" s="129" t="s">
        <v>14</v>
      </c>
      <c r="O9" s="139" t="s">
        <v>14</v>
      </c>
      <c r="P9" s="129" t="s">
        <v>15</v>
      </c>
      <c r="Q9" s="139" t="s">
        <v>15</v>
      </c>
      <c r="R9" s="129" t="s">
        <v>17</v>
      </c>
      <c r="S9" s="129" t="s">
        <v>18</v>
      </c>
      <c r="T9" s="199"/>
      <c r="U9" s="180"/>
      <c r="V9" s="7" t="s">
        <v>19</v>
      </c>
      <c r="W9" s="7" t="s">
        <v>20</v>
      </c>
      <c r="X9" s="7" t="s">
        <v>21</v>
      </c>
      <c r="Y9" s="7" t="s">
        <v>22</v>
      </c>
      <c r="Z9" s="180"/>
      <c r="AA9" s="182"/>
      <c r="AB9" s="158"/>
      <c r="AC9" s="159" t="s">
        <v>23</v>
      </c>
      <c r="AD9" s="2"/>
    </row>
    <row r="10" spans="1:39" x14ac:dyDescent="0.6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160"/>
      <c r="AC10" s="161"/>
      <c r="AD10" s="9"/>
    </row>
    <row r="11" spans="1:39" ht="103.5" x14ac:dyDescent="0.65">
      <c r="A11" s="10"/>
      <c r="B11" s="11" t="s">
        <v>24</v>
      </c>
      <c r="C11" s="126"/>
      <c r="D11" s="130">
        <f>D13+D15+D71+D94</f>
        <v>17899220.100000001</v>
      </c>
      <c r="E11" s="130">
        <f>E13+E15+E71+E94</f>
        <v>40452298.799999997</v>
      </c>
      <c r="F11" s="130">
        <f>F12+F15+F71+F94</f>
        <v>0</v>
      </c>
      <c r="G11" s="130">
        <f>G12+G15+G71+G94</f>
        <v>0</v>
      </c>
      <c r="H11" s="130">
        <f>H12+H15+H71+H94</f>
        <v>0</v>
      </c>
      <c r="I11" s="130">
        <f>I12+I15+I71+I94</f>
        <v>18311694.899999999</v>
      </c>
      <c r="J11" s="130">
        <f>J12+J15+J71+J94</f>
        <v>0</v>
      </c>
      <c r="K11" s="130">
        <f>K13+K15+K71+K94</f>
        <v>40452298.799999997</v>
      </c>
      <c r="L11" s="130">
        <f>L12+L15+L71+L94</f>
        <v>0</v>
      </c>
      <c r="M11" s="130">
        <f>M12+M15+M71+M94</f>
        <v>0</v>
      </c>
      <c r="N11" s="130">
        <f>N12+N15+N71+N94</f>
        <v>6498576.5</v>
      </c>
      <c r="O11" s="130">
        <f>O12+O15+O71+O94</f>
        <v>0</v>
      </c>
      <c r="P11" s="130">
        <f>P13+P15+P71+P94</f>
        <v>19171269.199999999</v>
      </c>
      <c r="Q11" s="130">
        <f>Q12+Q15+Q71+Q94</f>
        <v>0</v>
      </c>
      <c r="R11" s="130">
        <f>R12+R15+R71+R94</f>
        <v>0</v>
      </c>
      <c r="S11" s="130">
        <f>S12+S15+S71+S94</f>
        <v>0</v>
      </c>
      <c r="T11" s="130">
        <f>T13+T15+T71+T94</f>
        <v>1006490.497</v>
      </c>
      <c r="U11" s="151" t="s">
        <v>25</v>
      </c>
      <c r="V11" s="151" t="s">
        <v>25</v>
      </c>
      <c r="W11" s="151" t="s">
        <v>25</v>
      </c>
      <c r="X11" s="151" t="s">
        <v>25</v>
      </c>
      <c r="Y11" s="151" t="s">
        <v>25</v>
      </c>
      <c r="Z11" s="151" t="s">
        <v>25</v>
      </c>
      <c r="AA11" s="12" t="s">
        <v>25</v>
      </c>
      <c r="AB11" s="162"/>
      <c r="AC11" s="163">
        <f>(N11+P11)/(I11+K11)*100</f>
        <v>43.682949513351403</v>
      </c>
      <c r="AD11" s="14"/>
      <c r="AG11" s="14">
        <f>N11/I11*100</f>
        <v>35.488667408935484</v>
      </c>
      <c r="AH11" s="14">
        <f>P11/K11*100</f>
        <v>47.392286146170761</v>
      </c>
    </row>
    <row r="12" spans="1:39" ht="160.5" customHeight="1" x14ac:dyDescent="0.65">
      <c r="A12" s="151"/>
      <c r="B12" s="11" t="s">
        <v>26</v>
      </c>
      <c r="C12" s="127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1"/>
      <c r="V12" s="151"/>
      <c r="W12" s="151"/>
      <c r="X12" s="151"/>
      <c r="Y12" s="151"/>
      <c r="Z12" s="151"/>
      <c r="AA12" s="12"/>
      <c r="AB12" s="162"/>
      <c r="AC12" s="163" t="e">
        <f>(N12+P12)/(I12+K12)*100</f>
        <v>#DIV/0!</v>
      </c>
      <c r="AD12" s="2"/>
    </row>
    <row r="13" spans="1:39" ht="408" customHeight="1" x14ac:dyDescent="0.65">
      <c r="A13" s="181" t="s">
        <v>27</v>
      </c>
      <c r="B13" s="182" t="s">
        <v>28</v>
      </c>
      <c r="C13" s="184" t="s">
        <v>29</v>
      </c>
      <c r="D13" s="183">
        <v>0</v>
      </c>
      <c r="E13" s="189">
        <v>1438887.9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1454985.1</v>
      </c>
      <c r="L13" s="183">
        <v>0</v>
      </c>
      <c r="M13" s="183">
        <v>0</v>
      </c>
      <c r="N13" s="183">
        <v>0</v>
      </c>
      <c r="O13" s="183">
        <v>0</v>
      </c>
      <c r="P13" s="183">
        <v>651789.4</v>
      </c>
      <c r="Q13" s="183">
        <v>0</v>
      </c>
      <c r="R13" s="183">
        <v>0</v>
      </c>
      <c r="S13" s="183"/>
      <c r="T13" s="183">
        <v>109413.7</v>
      </c>
      <c r="U13" s="191" t="s">
        <v>389</v>
      </c>
      <c r="V13" s="181" t="s">
        <v>25</v>
      </c>
      <c r="W13" s="181" t="s">
        <v>25</v>
      </c>
      <c r="X13" s="181" t="s">
        <v>25</v>
      </c>
      <c r="Y13" s="181" t="s">
        <v>25</v>
      </c>
      <c r="Z13" s="181" t="s">
        <v>25</v>
      </c>
      <c r="AA13" s="190" t="s">
        <v>25</v>
      </c>
      <c r="AB13" s="162">
        <f>P13-K13</f>
        <v>-803195.70000000007</v>
      </c>
      <c r="AC13" s="163"/>
      <c r="AD13" s="2"/>
      <c r="AG13" s="14">
        <f>P13/K13*100</f>
        <v>44.796981082486688</v>
      </c>
    </row>
    <row r="14" spans="1:39" ht="219" hidden="1" customHeight="1" x14ac:dyDescent="0.65">
      <c r="A14" s="181"/>
      <c r="B14" s="182"/>
      <c r="C14" s="184"/>
      <c r="D14" s="183"/>
      <c r="E14" s="189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91"/>
      <c r="V14" s="181"/>
      <c r="W14" s="181"/>
      <c r="X14" s="181"/>
      <c r="Y14" s="181"/>
      <c r="Z14" s="181"/>
      <c r="AA14" s="190"/>
      <c r="AB14" s="162">
        <f t="shared" ref="AB14:AB88" si="0">P14-K14</f>
        <v>0</v>
      </c>
      <c r="AC14" s="163"/>
      <c r="AD14" s="2"/>
    </row>
    <row r="15" spans="1:39" ht="138" x14ac:dyDescent="0.65">
      <c r="A15" s="15" t="s">
        <v>30</v>
      </c>
      <c r="B15" s="11" t="s">
        <v>31</v>
      </c>
      <c r="C15" s="126"/>
      <c r="D15" s="130">
        <f t="shared" ref="D15:M15" si="1">SUM(D16:D70)</f>
        <v>4563794.5999999996</v>
      </c>
      <c r="E15" s="130">
        <f t="shared" si="1"/>
        <v>11404200.999999998</v>
      </c>
      <c r="F15" s="130">
        <f t="shared" si="1"/>
        <v>0</v>
      </c>
      <c r="G15" s="130">
        <f t="shared" si="1"/>
        <v>0</v>
      </c>
      <c r="H15" s="130">
        <f t="shared" si="1"/>
        <v>0</v>
      </c>
      <c r="I15" s="130">
        <f t="shared" si="1"/>
        <v>4563794.5999999996</v>
      </c>
      <c r="J15" s="130">
        <f t="shared" si="1"/>
        <v>0</v>
      </c>
      <c r="K15" s="130">
        <f t="shared" si="1"/>
        <v>11404200.999999998</v>
      </c>
      <c r="L15" s="130">
        <f t="shared" si="1"/>
        <v>0</v>
      </c>
      <c r="M15" s="130">
        <f t="shared" si="1"/>
        <v>0</v>
      </c>
      <c r="N15" s="130">
        <f>SUM(N16:N70)</f>
        <v>2364340.7000000002</v>
      </c>
      <c r="O15" s="130">
        <f t="shared" ref="O15:T15" si="2">SUM(O16:O70)</f>
        <v>0</v>
      </c>
      <c r="P15" s="130">
        <f t="shared" si="2"/>
        <v>5524265.5999999987</v>
      </c>
      <c r="Q15" s="130">
        <f t="shared" si="2"/>
        <v>0</v>
      </c>
      <c r="R15" s="130">
        <f t="shared" si="2"/>
        <v>0</v>
      </c>
      <c r="S15" s="130">
        <f t="shared" si="2"/>
        <v>0</v>
      </c>
      <c r="T15" s="130">
        <f t="shared" si="2"/>
        <v>86938.586999999985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7" t="s">
        <v>25</v>
      </c>
      <c r="AB15" s="162"/>
      <c r="AC15" s="163">
        <f>(N15+P15)/(I15+K15)*100</f>
        <v>49.402608177071386</v>
      </c>
      <c r="AD15" s="18"/>
      <c r="AG15" s="14">
        <f>N15/I15*100</f>
        <v>51.806466049107478</v>
      </c>
      <c r="AH15" s="14">
        <f>P15/K15*100</f>
        <v>48.440619382278513</v>
      </c>
      <c r="AM15" s="143"/>
    </row>
    <row r="16" spans="1:39" ht="402.75" customHeight="1" x14ac:dyDescent="0.65">
      <c r="A16" s="185" t="s">
        <v>27</v>
      </c>
      <c r="B16" s="182" t="s">
        <v>32</v>
      </c>
      <c r="C16" s="182" t="s">
        <v>29</v>
      </c>
      <c r="D16" s="183">
        <v>0</v>
      </c>
      <c r="E16" s="183">
        <v>349661.3</v>
      </c>
      <c r="F16" s="189">
        <v>0</v>
      </c>
      <c r="G16" s="183">
        <v>0</v>
      </c>
      <c r="H16" s="183">
        <v>0</v>
      </c>
      <c r="I16" s="183">
        <v>0</v>
      </c>
      <c r="J16" s="183">
        <v>0</v>
      </c>
      <c r="K16" s="183">
        <v>349661.3</v>
      </c>
      <c r="L16" s="183">
        <v>0</v>
      </c>
      <c r="M16" s="183">
        <v>0</v>
      </c>
      <c r="N16" s="183">
        <v>0</v>
      </c>
      <c r="O16" s="183">
        <v>0</v>
      </c>
      <c r="P16" s="183">
        <v>219718.39999999999</v>
      </c>
      <c r="Q16" s="183">
        <v>0</v>
      </c>
      <c r="R16" s="183">
        <v>0</v>
      </c>
      <c r="S16" s="183">
        <v>0</v>
      </c>
      <c r="T16" s="183">
        <v>2535.89</v>
      </c>
      <c r="U16" s="188" t="s">
        <v>390</v>
      </c>
      <c r="V16" s="181"/>
      <c r="W16" s="180" t="s">
        <v>33</v>
      </c>
      <c r="X16" s="186">
        <v>2011</v>
      </c>
      <c r="Y16" s="186">
        <v>2087</v>
      </c>
      <c r="Z16" s="180" t="s">
        <v>34</v>
      </c>
      <c r="AA16" s="188"/>
      <c r="AB16" s="162">
        <f t="shared" si="0"/>
        <v>-129942.9</v>
      </c>
      <c r="AC16" s="20"/>
      <c r="AD16" s="2"/>
      <c r="AM16" s="142" t="s">
        <v>368</v>
      </c>
    </row>
    <row r="17" spans="1:39" ht="120.75" hidden="1" customHeight="1" x14ac:dyDescent="0.65">
      <c r="A17" s="185"/>
      <c r="B17" s="182"/>
      <c r="C17" s="182"/>
      <c r="D17" s="183"/>
      <c r="E17" s="183"/>
      <c r="F17" s="189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8"/>
      <c r="V17" s="181"/>
      <c r="W17" s="180"/>
      <c r="X17" s="186"/>
      <c r="Y17" s="186"/>
      <c r="Z17" s="180"/>
      <c r="AA17" s="188"/>
      <c r="AB17" s="162">
        <f t="shared" si="0"/>
        <v>0</v>
      </c>
      <c r="AC17" s="20"/>
      <c r="AD17" s="2"/>
    </row>
    <row r="18" spans="1:39" ht="409.5" customHeight="1" x14ac:dyDescent="0.65">
      <c r="A18" s="185" t="s">
        <v>35</v>
      </c>
      <c r="B18" s="182" t="s">
        <v>36</v>
      </c>
      <c r="C18" s="182" t="s">
        <v>29</v>
      </c>
      <c r="D18" s="183">
        <v>0</v>
      </c>
      <c r="E18" s="189">
        <v>4569.3</v>
      </c>
      <c r="F18" s="183">
        <v>0</v>
      </c>
      <c r="G18" s="183">
        <v>0</v>
      </c>
      <c r="H18" s="183">
        <v>0</v>
      </c>
      <c r="I18" s="183">
        <v>0</v>
      </c>
      <c r="J18" s="183">
        <v>0</v>
      </c>
      <c r="K18" s="183">
        <v>4569.3</v>
      </c>
      <c r="L18" s="183">
        <v>0</v>
      </c>
      <c r="M18" s="183">
        <v>0</v>
      </c>
      <c r="N18" s="183">
        <v>0</v>
      </c>
      <c r="O18" s="183">
        <v>0</v>
      </c>
      <c r="P18" s="183">
        <v>2197.5</v>
      </c>
      <c r="Q18" s="183">
        <v>0</v>
      </c>
      <c r="R18" s="183">
        <v>0</v>
      </c>
      <c r="S18" s="183">
        <v>0</v>
      </c>
      <c r="T18" s="183">
        <v>31.53</v>
      </c>
      <c r="U18" s="188" t="s">
        <v>391</v>
      </c>
      <c r="V18" s="181"/>
      <c r="W18" s="180" t="s">
        <v>33</v>
      </c>
      <c r="X18" s="181">
        <v>20</v>
      </c>
      <c r="Y18" s="181">
        <v>16</v>
      </c>
      <c r="Z18" s="180" t="s">
        <v>327</v>
      </c>
      <c r="AA18" s="188" t="s">
        <v>341</v>
      </c>
      <c r="AB18" s="162">
        <f t="shared" si="0"/>
        <v>-2371.8000000000002</v>
      </c>
      <c r="AC18" s="20"/>
      <c r="AD18" s="2"/>
      <c r="AM18" s="142" t="s">
        <v>368</v>
      </c>
    </row>
    <row r="19" spans="1:39" ht="0.75" customHeight="1" x14ac:dyDescent="0.65">
      <c r="A19" s="185"/>
      <c r="B19" s="182"/>
      <c r="C19" s="182"/>
      <c r="D19" s="183"/>
      <c r="E19" s="189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8"/>
      <c r="V19" s="181"/>
      <c r="W19" s="180"/>
      <c r="X19" s="181"/>
      <c r="Y19" s="181"/>
      <c r="Z19" s="180"/>
      <c r="AA19" s="188"/>
      <c r="AB19" s="162">
        <f t="shared" si="0"/>
        <v>0</v>
      </c>
      <c r="AC19" s="20"/>
      <c r="AD19" s="2"/>
    </row>
    <row r="20" spans="1:39" ht="393" customHeight="1" x14ac:dyDescent="0.65">
      <c r="A20" s="154" t="s">
        <v>37</v>
      </c>
      <c r="B20" s="149" t="s">
        <v>38</v>
      </c>
      <c r="C20" s="149" t="s">
        <v>29</v>
      </c>
      <c r="D20" s="152">
        <v>0</v>
      </c>
      <c r="E20" s="152">
        <v>21746</v>
      </c>
      <c r="F20" s="152">
        <v>0</v>
      </c>
      <c r="G20" s="152">
        <v>0</v>
      </c>
      <c r="H20" s="152">
        <v>0</v>
      </c>
      <c r="I20" s="152">
        <v>0</v>
      </c>
      <c r="J20" s="152">
        <v>0</v>
      </c>
      <c r="K20" s="152">
        <v>21746</v>
      </c>
      <c r="L20" s="152">
        <v>0</v>
      </c>
      <c r="M20" s="152">
        <v>0</v>
      </c>
      <c r="N20" s="152">
        <v>0</v>
      </c>
      <c r="O20" s="152">
        <v>0</v>
      </c>
      <c r="P20" s="152">
        <v>12700.8</v>
      </c>
      <c r="Q20" s="152">
        <v>0</v>
      </c>
      <c r="R20" s="152">
        <v>0</v>
      </c>
      <c r="S20" s="152">
        <v>0</v>
      </c>
      <c r="T20" s="152">
        <v>168.82</v>
      </c>
      <c r="U20" s="112" t="s">
        <v>392</v>
      </c>
      <c r="V20" s="19"/>
      <c r="W20" s="148" t="s">
        <v>33</v>
      </c>
      <c r="X20" s="151">
        <v>83</v>
      </c>
      <c r="Y20" s="151">
        <v>80</v>
      </c>
      <c r="Z20" s="148" t="s">
        <v>327</v>
      </c>
      <c r="AA20" s="115" t="s">
        <v>341</v>
      </c>
      <c r="AB20" s="162">
        <f t="shared" si="0"/>
        <v>-9045.2000000000007</v>
      </c>
      <c r="AC20" s="20"/>
      <c r="AD20" s="2"/>
      <c r="AM20" s="142" t="s">
        <v>368</v>
      </c>
    </row>
    <row r="21" spans="1:39" ht="408.75" customHeight="1" x14ac:dyDescent="0.65">
      <c r="A21" s="185" t="s">
        <v>39</v>
      </c>
      <c r="B21" s="182" t="s">
        <v>40</v>
      </c>
      <c r="C21" s="182" t="s">
        <v>29</v>
      </c>
      <c r="D21" s="183">
        <v>0</v>
      </c>
      <c r="E21" s="183">
        <v>19222.2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3">
        <v>19222.2</v>
      </c>
      <c r="L21" s="183">
        <v>0</v>
      </c>
      <c r="M21" s="183">
        <v>0</v>
      </c>
      <c r="N21" s="183">
        <v>0</v>
      </c>
      <c r="O21" s="183">
        <v>0</v>
      </c>
      <c r="P21" s="183">
        <v>18634.099999999999</v>
      </c>
      <c r="Q21" s="183">
        <v>0</v>
      </c>
      <c r="R21" s="183">
        <v>0</v>
      </c>
      <c r="S21" s="183">
        <v>0</v>
      </c>
      <c r="T21" s="183">
        <v>274.8</v>
      </c>
      <c r="U21" s="188" t="s">
        <v>393</v>
      </c>
      <c r="V21" s="181"/>
      <c r="W21" s="180" t="s">
        <v>33</v>
      </c>
      <c r="X21" s="186">
        <v>10068</v>
      </c>
      <c r="Y21" s="186">
        <v>9646</v>
      </c>
      <c r="Z21" s="180" t="s">
        <v>327</v>
      </c>
      <c r="AA21" s="188" t="s">
        <v>341</v>
      </c>
      <c r="AB21" s="162">
        <f t="shared" si="0"/>
        <v>-588.10000000000218</v>
      </c>
      <c r="AC21" s="20"/>
      <c r="AD21" s="2"/>
      <c r="AM21" s="142" t="s">
        <v>368</v>
      </c>
    </row>
    <row r="22" spans="1:39" ht="18" customHeight="1" x14ac:dyDescent="0.65">
      <c r="A22" s="185"/>
      <c r="B22" s="182"/>
      <c r="C22" s="182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8"/>
      <c r="V22" s="181"/>
      <c r="W22" s="180"/>
      <c r="X22" s="186"/>
      <c r="Y22" s="186"/>
      <c r="Z22" s="180"/>
      <c r="AA22" s="188"/>
      <c r="AB22" s="162">
        <f t="shared" si="0"/>
        <v>0</v>
      </c>
      <c r="AC22" s="20"/>
      <c r="AD22" s="2"/>
    </row>
    <row r="23" spans="1:39" ht="384" customHeight="1" x14ac:dyDescent="0.65">
      <c r="A23" s="154" t="s">
        <v>41</v>
      </c>
      <c r="B23" s="149" t="s">
        <v>42</v>
      </c>
      <c r="C23" s="149" t="s">
        <v>29</v>
      </c>
      <c r="D23" s="152">
        <v>159028.79999999999</v>
      </c>
      <c r="E23" s="152">
        <v>0</v>
      </c>
      <c r="F23" s="152">
        <v>0</v>
      </c>
      <c r="G23" s="152">
        <v>0</v>
      </c>
      <c r="H23" s="152">
        <v>0</v>
      </c>
      <c r="I23" s="152">
        <v>159028.79999999999</v>
      </c>
      <c r="J23" s="152">
        <v>0</v>
      </c>
      <c r="K23" s="152">
        <v>0</v>
      </c>
      <c r="L23" s="152">
        <v>0</v>
      </c>
      <c r="M23" s="152">
        <v>0</v>
      </c>
      <c r="N23" s="152">
        <v>76937.600000000006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20.93</v>
      </c>
      <c r="U23" s="115" t="s">
        <v>394</v>
      </c>
      <c r="V23" s="151"/>
      <c r="W23" s="148" t="s">
        <v>33</v>
      </c>
      <c r="X23" s="114">
        <v>9326</v>
      </c>
      <c r="Y23" s="114">
        <v>8998</v>
      </c>
      <c r="Z23" s="148" t="s">
        <v>327</v>
      </c>
      <c r="AA23" s="115" t="s">
        <v>341</v>
      </c>
      <c r="AB23" s="162">
        <f>N23-I23</f>
        <v>-82091.199999999983</v>
      </c>
      <c r="AC23" s="20"/>
      <c r="AD23" s="2"/>
      <c r="AM23" s="142" t="s">
        <v>368</v>
      </c>
    </row>
    <row r="24" spans="1:39" ht="387.75" x14ac:dyDescent="0.65">
      <c r="A24" s="148" t="s">
        <v>43</v>
      </c>
      <c r="B24" s="149" t="s">
        <v>44</v>
      </c>
      <c r="C24" s="149" t="s">
        <v>29</v>
      </c>
      <c r="D24" s="152">
        <v>278.2</v>
      </c>
      <c r="E24" s="131">
        <v>0</v>
      </c>
      <c r="F24" s="152">
        <v>0</v>
      </c>
      <c r="G24" s="152">
        <v>0</v>
      </c>
      <c r="H24" s="152">
        <v>0</v>
      </c>
      <c r="I24" s="152">
        <v>278.2</v>
      </c>
      <c r="J24" s="152">
        <v>0</v>
      </c>
      <c r="K24" s="152">
        <v>0</v>
      </c>
      <c r="L24" s="152">
        <v>0</v>
      </c>
      <c r="M24" s="152">
        <v>0</v>
      </c>
      <c r="N24" s="152">
        <v>70.099999999999994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15" t="s">
        <v>395</v>
      </c>
      <c r="V24" s="151"/>
      <c r="W24" s="148" t="s">
        <v>33</v>
      </c>
      <c r="X24" s="151">
        <v>9</v>
      </c>
      <c r="Y24" s="151">
        <v>8</v>
      </c>
      <c r="Z24" s="148" t="s">
        <v>327</v>
      </c>
      <c r="AA24" s="115" t="s">
        <v>341</v>
      </c>
      <c r="AB24" s="162">
        <f>N24-I24</f>
        <v>-208.1</v>
      </c>
      <c r="AC24" s="20"/>
      <c r="AD24" s="2"/>
      <c r="AM24" s="142" t="s">
        <v>368</v>
      </c>
    </row>
    <row r="25" spans="1:39" ht="408.75" customHeight="1" x14ac:dyDescent="0.65">
      <c r="A25" s="180" t="s">
        <v>45</v>
      </c>
      <c r="B25" s="182" t="s">
        <v>295</v>
      </c>
      <c r="C25" s="182" t="s">
        <v>29</v>
      </c>
      <c r="D25" s="189">
        <v>0</v>
      </c>
      <c r="E25" s="189">
        <v>2572995.6</v>
      </c>
      <c r="F25" s="183">
        <v>0</v>
      </c>
      <c r="G25" s="183">
        <v>0</v>
      </c>
      <c r="H25" s="183">
        <v>0</v>
      </c>
      <c r="I25" s="183">
        <v>0</v>
      </c>
      <c r="J25" s="183">
        <v>0</v>
      </c>
      <c r="K25" s="183">
        <v>2572995.6</v>
      </c>
      <c r="L25" s="183">
        <v>0</v>
      </c>
      <c r="M25" s="183">
        <v>0</v>
      </c>
      <c r="N25" s="183">
        <v>0</v>
      </c>
      <c r="O25" s="183">
        <v>0</v>
      </c>
      <c r="P25" s="183">
        <v>1294606.6000000001</v>
      </c>
      <c r="Q25" s="183">
        <v>0</v>
      </c>
      <c r="R25" s="183">
        <v>0</v>
      </c>
      <c r="S25" s="183">
        <v>0</v>
      </c>
      <c r="T25" s="183">
        <v>20046.240000000002</v>
      </c>
      <c r="U25" s="188" t="s">
        <v>396</v>
      </c>
      <c r="V25" s="181"/>
      <c r="W25" s="180" t="s">
        <v>33</v>
      </c>
      <c r="X25" s="186">
        <v>374853</v>
      </c>
      <c r="Y25" s="186">
        <v>382098</v>
      </c>
      <c r="Z25" s="180" t="s">
        <v>34</v>
      </c>
      <c r="AA25" s="188" t="s">
        <v>341</v>
      </c>
      <c r="AB25" s="162">
        <f t="shared" si="0"/>
        <v>-1278389</v>
      </c>
      <c r="AC25" s="20"/>
      <c r="AD25" s="156"/>
      <c r="AM25" s="142" t="s">
        <v>368</v>
      </c>
    </row>
    <row r="26" spans="1:39" ht="337.5" customHeight="1" x14ac:dyDescent="0.65">
      <c r="A26" s="180"/>
      <c r="B26" s="182"/>
      <c r="C26" s="182"/>
      <c r="D26" s="189"/>
      <c r="E26" s="189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8"/>
      <c r="V26" s="181"/>
      <c r="W26" s="180"/>
      <c r="X26" s="186"/>
      <c r="Y26" s="186"/>
      <c r="Z26" s="180"/>
      <c r="AA26" s="188"/>
      <c r="AB26" s="162">
        <f t="shared" si="0"/>
        <v>0</v>
      </c>
      <c r="AC26" s="20"/>
      <c r="AD26" s="2"/>
    </row>
    <row r="27" spans="1:39" ht="378.75" customHeight="1" x14ac:dyDescent="0.65">
      <c r="A27" s="116" t="s">
        <v>47</v>
      </c>
      <c r="B27" s="149" t="s">
        <v>48</v>
      </c>
      <c r="C27" s="149" t="s">
        <v>29</v>
      </c>
      <c r="D27" s="152">
        <v>0</v>
      </c>
      <c r="E27" s="131">
        <v>1194118.3999999999</v>
      </c>
      <c r="F27" s="131">
        <v>0</v>
      </c>
      <c r="G27" s="152">
        <v>0</v>
      </c>
      <c r="H27" s="152">
        <v>0</v>
      </c>
      <c r="I27" s="152">
        <v>0</v>
      </c>
      <c r="J27" s="152">
        <v>0</v>
      </c>
      <c r="K27" s="131">
        <v>1194118.3999999999</v>
      </c>
      <c r="L27" s="152">
        <v>0</v>
      </c>
      <c r="M27" s="152">
        <v>0</v>
      </c>
      <c r="N27" s="152">
        <v>0</v>
      </c>
      <c r="O27" s="152">
        <v>0</v>
      </c>
      <c r="P27" s="152">
        <v>643275.4</v>
      </c>
      <c r="Q27" s="152">
        <v>0</v>
      </c>
      <c r="R27" s="152">
        <v>0</v>
      </c>
      <c r="S27" s="152">
        <v>0</v>
      </c>
      <c r="T27" s="152">
        <v>9163.84</v>
      </c>
      <c r="U27" s="117" t="s">
        <v>397</v>
      </c>
      <c r="V27" s="19"/>
      <c r="W27" s="112" t="s">
        <v>49</v>
      </c>
      <c r="X27" s="114">
        <v>64756</v>
      </c>
      <c r="Y27" s="114">
        <v>53719</v>
      </c>
      <c r="Z27" s="148" t="s">
        <v>327</v>
      </c>
      <c r="AA27" s="115" t="s">
        <v>341</v>
      </c>
      <c r="AB27" s="162">
        <f t="shared" si="0"/>
        <v>-550842.99999999988</v>
      </c>
      <c r="AC27" s="20"/>
      <c r="AD27" s="2"/>
      <c r="AM27" s="142" t="s">
        <v>369</v>
      </c>
    </row>
    <row r="28" spans="1:39" ht="408.75" customHeight="1" x14ac:dyDescent="0.65">
      <c r="A28" s="185" t="s">
        <v>50</v>
      </c>
      <c r="B28" s="182" t="s">
        <v>556</v>
      </c>
      <c r="C28" s="182" t="s">
        <v>29</v>
      </c>
      <c r="D28" s="183">
        <v>3966586.3</v>
      </c>
      <c r="E28" s="189">
        <v>0</v>
      </c>
      <c r="F28" s="189">
        <v>0</v>
      </c>
      <c r="G28" s="183">
        <v>0</v>
      </c>
      <c r="H28" s="183">
        <v>0</v>
      </c>
      <c r="I28" s="183">
        <v>3966586.3</v>
      </c>
      <c r="J28" s="183">
        <v>0</v>
      </c>
      <c r="K28" s="183">
        <v>0</v>
      </c>
      <c r="L28" s="183">
        <v>0</v>
      </c>
      <c r="M28" s="183">
        <v>0</v>
      </c>
      <c r="N28" s="183">
        <v>1860997.6</v>
      </c>
      <c r="O28" s="183">
        <v>0</v>
      </c>
      <c r="P28" s="183">
        <v>0</v>
      </c>
      <c r="Q28" s="183">
        <v>0</v>
      </c>
      <c r="R28" s="183">
        <v>0</v>
      </c>
      <c r="S28" s="183">
        <v>0</v>
      </c>
      <c r="T28" s="183">
        <v>13959.18</v>
      </c>
      <c r="U28" s="188" t="s">
        <v>398</v>
      </c>
      <c r="V28" s="181"/>
      <c r="W28" s="180" t="s">
        <v>33</v>
      </c>
      <c r="X28" s="186">
        <v>502868</v>
      </c>
      <c r="Y28" s="186">
        <v>405618</v>
      </c>
      <c r="Z28" s="180" t="s">
        <v>327</v>
      </c>
      <c r="AA28" s="188" t="s">
        <v>341</v>
      </c>
      <c r="AB28" s="162">
        <f>N28-I28</f>
        <v>-2105588.6999999997</v>
      </c>
      <c r="AC28" s="164"/>
      <c r="AD28" s="21"/>
      <c r="AM28" s="142" t="s">
        <v>369</v>
      </c>
    </row>
    <row r="29" spans="1:39" ht="191.25" customHeight="1" x14ac:dyDescent="0.65">
      <c r="A29" s="185"/>
      <c r="B29" s="182"/>
      <c r="C29" s="182"/>
      <c r="D29" s="183"/>
      <c r="E29" s="189"/>
      <c r="F29" s="189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8"/>
      <c r="V29" s="181"/>
      <c r="W29" s="180"/>
      <c r="X29" s="186"/>
      <c r="Y29" s="186"/>
      <c r="Z29" s="180"/>
      <c r="AA29" s="188"/>
      <c r="AB29" s="162">
        <f t="shared" si="0"/>
        <v>0</v>
      </c>
      <c r="AC29" s="164"/>
      <c r="AD29" s="21"/>
    </row>
    <row r="30" spans="1:39" ht="408.75" customHeight="1" x14ac:dyDescent="0.65">
      <c r="A30" s="185" t="s">
        <v>51</v>
      </c>
      <c r="B30" s="182" t="s">
        <v>52</v>
      </c>
      <c r="C30" s="182" t="s">
        <v>29</v>
      </c>
      <c r="D30" s="183">
        <v>6022.7</v>
      </c>
      <c r="E30" s="189">
        <v>4165.5</v>
      </c>
      <c r="F30" s="189">
        <v>0</v>
      </c>
      <c r="G30" s="183">
        <v>0</v>
      </c>
      <c r="H30" s="183">
        <v>0</v>
      </c>
      <c r="I30" s="183">
        <v>6022.7</v>
      </c>
      <c r="J30" s="183">
        <v>0</v>
      </c>
      <c r="K30" s="183">
        <v>4165.5</v>
      </c>
      <c r="L30" s="183">
        <v>0</v>
      </c>
      <c r="M30" s="183">
        <v>0</v>
      </c>
      <c r="N30" s="183">
        <v>6022.6</v>
      </c>
      <c r="O30" s="183">
        <v>0</v>
      </c>
      <c r="P30" s="183">
        <v>3946.4</v>
      </c>
      <c r="Q30" s="183">
        <v>0</v>
      </c>
      <c r="R30" s="183">
        <v>0</v>
      </c>
      <c r="S30" s="183">
        <v>0</v>
      </c>
      <c r="T30" s="183">
        <v>144.54</v>
      </c>
      <c r="U30" s="188" t="s">
        <v>399</v>
      </c>
      <c r="V30" s="181"/>
      <c r="W30" s="180" t="s">
        <v>33</v>
      </c>
      <c r="X30" s="186">
        <v>11000</v>
      </c>
      <c r="Y30" s="186">
        <v>10723</v>
      </c>
      <c r="Z30" s="180" t="s">
        <v>327</v>
      </c>
      <c r="AA30" s="115"/>
      <c r="AB30" s="162">
        <f t="shared" si="0"/>
        <v>-219.09999999999991</v>
      </c>
      <c r="AC30" s="20"/>
      <c r="AD30" s="2"/>
      <c r="AM30" s="142" t="s">
        <v>369</v>
      </c>
    </row>
    <row r="31" spans="1:39" ht="264" customHeight="1" x14ac:dyDescent="0.65">
      <c r="A31" s="185"/>
      <c r="B31" s="182"/>
      <c r="C31" s="182"/>
      <c r="D31" s="183"/>
      <c r="E31" s="189"/>
      <c r="F31" s="189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8"/>
      <c r="V31" s="181"/>
      <c r="W31" s="180"/>
      <c r="X31" s="186"/>
      <c r="Y31" s="186"/>
      <c r="Z31" s="180"/>
      <c r="AA31" s="115"/>
      <c r="AB31" s="162"/>
      <c r="AC31" s="20"/>
      <c r="AD31" s="2"/>
    </row>
    <row r="32" spans="1:39" ht="409.6" customHeight="1" x14ac:dyDescent="0.65">
      <c r="A32" s="112" t="s">
        <v>53</v>
      </c>
      <c r="B32" s="149" t="s">
        <v>54</v>
      </c>
      <c r="C32" s="149" t="s">
        <v>29</v>
      </c>
      <c r="D32" s="152">
        <v>0</v>
      </c>
      <c r="E32" s="131">
        <v>4111881.6</v>
      </c>
      <c r="F32" s="131">
        <v>0</v>
      </c>
      <c r="G32" s="152">
        <v>0</v>
      </c>
      <c r="H32" s="152">
        <v>0</v>
      </c>
      <c r="I32" s="152">
        <v>0</v>
      </c>
      <c r="J32" s="152">
        <v>0</v>
      </c>
      <c r="K32" s="152">
        <v>4130418.8</v>
      </c>
      <c r="L32" s="152">
        <v>0</v>
      </c>
      <c r="M32" s="152">
        <v>0</v>
      </c>
      <c r="N32" s="152">
        <v>0</v>
      </c>
      <c r="O32" s="152">
        <v>0</v>
      </c>
      <c r="P32" s="152">
        <v>1971856.8</v>
      </c>
      <c r="Q32" s="152">
        <v>0</v>
      </c>
      <c r="R32" s="152">
        <v>0</v>
      </c>
      <c r="S32" s="152">
        <v>0</v>
      </c>
      <c r="T32" s="152">
        <v>29663.61</v>
      </c>
      <c r="U32" s="112" t="s">
        <v>400</v>
      </c>
      <c r="V32" s="19"/>
      <c r="W32" s="112" t="s">
        <v>33</v>
      </c>
      <c r="X32" s="114">
        <v>372294</v>
      </c>
      <c r="Y32" s="114">
        <v>369562</v>
      </c>
      <c r="Z32" s="148" t="s">
        <v>327</v>
      </c>
      <c r="AA32" s="115" t="s">
        <v>341</v>
      </c>
      <c r="AB32" s="162">
        <f t="shared" si="0"/>
        <v>-2158562</v>
      </c>
      <c r="AC32" s="20"/>
      <c r="AD32" s="2"/>
      <c r="AM32" s="142" t="s">
        <v>369</v>
      </c>
    </row>
    <row r="33" spans="1:39" ht="409.6" customHeight="1" x14ac:dyDescent="0.65">
      <c r="A33" s="185" t="s">
        <v>56</v>
      </c>
      <c r="B33" s="182" t="s">
        <v>57</v>
      </c>
      <c r="C33" s="182" t="s">
        <v>29</v>
      </c>
      <c r="D33" s="183">
        <v>0</v>
      </c>
      <c r="E33" s="189">
        <v>5652.5</v>
      </c>
      <c r="F33" s="189">
        <v>0</v>
      </c>
      <c r="G33" s="183">
        <v>0</v>
      </c>
      <c r="H33" s="183">
        <v>0</v>
      </c>
      <c r="I33" s="183">
        <v>0</v>
      </c>
      <c r="J33" s="183">
        <v>0</v>
      </c>
      <c r="K33" s="183">
        <v>5652.5</v>
      </c>
      <c r="L33" s="183">
        <v>0</v>
      </c>
      <c r="M33" s="183">
        <v>0</v>
      </c>
      <c r="N33" s="183">
        <v>0</v>
      </c>
      <c r="O33" s="183">
        <v>0</v>
      </c>
      <c r="P33" s="183">
        <v>2960.8</v>
      </c>
      <c r="Q33" s="183">
        <v>0</v>
      </c>
      <c r="R33" s="183">
        <v>0</v>
      </c>
      <c r="S33" s="183">
        <v>0</v>
      </c>
      <c r="T33" s="183">
        <v>43.12</v>
      </c>
      <c r="U33" s="188" t="s">
        <v>401</v>
      </c>
      <c r="V33" s="181"/>
      <c r="W33" s="180" t="s">
        <v>33</v>
      </c>
      <c r="X33" s="181">
        <v>674</v>
      </c>
      <c r="Y33" s="181">
        <v>618</v>
      </c>
      <c r="Z33" s="180" t="s">
        <v>327</v>
      </c>
      <c r="AA33" s="115" t="s">
        <v>341</v>
      </c>
      <c r="AB33" s="162">
        <f t="shared" si="0"/>
        <v>-2691.7</v>
      </c>
      <c r="AC33" s="20"/>
      <c r="AD33" s="22"/>
      <c r="AM33" s="142" t="s">
        <v>368</v>
      </c>
    </row>
    <row r="34" spans="1:39" ht="289.5" customHeight="1" x14ac:dyDescent="0.65">
      <c r="A34" s="185"/>
      <c r="B34" s="182"/>
      <c r="C34" s="182"/>
      <c r="D34" s="183"/>
      <c r="E34" s="189"/>
      <c r="F34" s="189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8"/>
      <c r="V34" s="181"/>
      <c r="W34" s="180"/>
      <c r="X34" s="181"/>
      <c r="Y34" s="181"/>
      <c r="Z34" s="180"/>
      <c r="AA34" s="115"/>
      <c r="AB34" s="162"/>
      <c r="AC34" s="20"/>
      <c r="AD34" s="2"/>
    </row>
    <row r="35" spans="1:39" ht="408.75" customHeight="1" x14ac:dyDescent="0.65">
      <c r="A35" s="185" t="s">
        <v>58</v>
      </c>
      <c r="B35" s="182" t="s">
        <v>59</v>
      </c>
      <c r="C35" s="182" t="s">
        <v>29</v>
      </c>
      <c r="D35" s="183">
        <v>0</v>
      </c>
      <c r="E35" s="189">
        <v>12275.4</v>
      </c>
      <c r="F35" s="183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12275.4</v>
      </c>
      <c r="L35" s="183">
        <v>0</v>
      </c>
      <c r="M35" s="183">
        <v>0</v>
      </c>
      <c r="N35" s="183">
        <v>0</v>
      </c>
      <c r="O35" s="183">
        <v>0</v>
      </c>
      <c r="P35" s="183">
        <v>6352</v>
      </c>
      <c r="Q35" s="183">
        <v>0</v>
      </c>
      <c r="R35" s="183">
        <v>0</v>
      </c>
      <c r="S35" s="183">
        <v>0</v>
      </c>
      <c r="T35" s="183">
        <v>97.15</v>
      </c>
      <c r="U35" s="188" t="s">
        <v>402</v>
      </c>
      <c r="V35" s="181"/>
      <c r="W35" s="180" t="s">
        <v>33</v>
      </c>
      <c r="X35" s="186">
        <v>1463</v>
      </c>
      <c r="Y35" s="186">
        <v>1367</v>
      </c>
      <c r="Z35" s="180" t="s">
        <v>327</v>
      </c>
      <c r="AA35" s="188" t="s">
        <v>341</v>
      </c>
      <c r="AB35" s="162">
        <f t="shared" si="0"/>
        <v>-5923.4</v>
      </c>
      <c r="AC35" s="20"/>
      <c r="AD35" s="2"/>
      <c r="AM35" s="142" t="s">
        <v>368</v>
      </c>
    </row>
    <row r="36" spans="1:39" ht="324.75" customHeight="1" x14ac:dyDescent="0.65">
      <c r="A36" s="185"/>
      <c r="B36" s="182"/>
      <c r="C36" s="182"/>
      <c r="D36" s="183"/>
      <c r="E36" s="189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8"/>
      <c r="V36" s="181"/>
      <c r="W36" s="180"/>
      <c r="X36" s="186"/>
      <c r="Y36" s="186"/>
      <c r="Z36" s="180"/>
      <c r="AA36" s="188"/>
      <c r="AB36" s="162">
        <f t="shared" si="0"/>
        <v>0</v>
      </c>
      <c r="AC36" s="20"/>
      <c r="AD36" s="2"/>
    </row>
    <row r="37" spans="1:39" ht="387.75" x14ac:dyDescent="0.65">
      <c r="A37" s="154" t="s">
        <v>60</v>
      </c>
      <c r="B37" s="149" t="s">
        <v>61</v>
      </c>
      <c r="C37" s="149" t="s">
        <v>29</v>
      </c>
      <c r="D37" s="152">
        <v>0</v>
      </c>
      <c r="E37" s="131">
        <v>3681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3681</v>
      </c>
      <c r="L37" s="152">
        <v>0</v>
      </c>
      <c r="M37" s="152">
        <v>0</v>
      </c>
      <c r="N37" s="152">
        <v>0</v>
      </c>
      <c r="O37" s="152">
        <v>0</v>
      </c>
      <c r="P37" s="152">
        <v>1560.5</v>
      </c>
      <c r="Q37" s="152">
        <v>0</v>
      </c>
      <c r="R37" s="152">
        <v>0</v>
      </c>
      <c r="S37" s="152">
        <v>0</v>
      </c>
      <c r="T37" s="152">
        <v>14.52</v>
      </c>
      <c r="U37" s="115" t="s">
        <v>403</v>
      </c>
      <c r="V37" s="151"/>
      <c r="W37" s="148" t="s">
        <v>33</v>
      </c>
      <c r="X37" s="151">
        <v>377</v>
      </c>
      <c r="Y37" s="151">
        <v>326</v>
      </c>
      <c r="Z37" s="148" t="s">
        <v>327</v>
      </c>
      <c r="AA37" s="115" t="s">
        <v>341</v>
      </c>
      <c r="AB37" s="162">
        <f t="shared" si="0"/>
        <v>-2120.5</v>
      </c>
      <c r="AC37" s="20"/>
      <c r="AD37" s="2"/>
      <c r="AM37" s="142" t="s">
        <v>369</v>
      </c>
    </row>
    <row r="38" spans="1:39" ht="408.75" customHeight="1" x14ac:dyDescent="0.65">
      <c r="A38" s="185" t="s">
        <v>63</v>
      </c>
      <c r="B38" s="182" t="s">
        <v>350</v>
      </c>
      <c r="C38" s="182" t="s">
        <v>29</v>
      </c>
      <c r="D38" s="183">
        <v>0</v>
      </c>
      <c r="E38" s="189">
        <v>83.2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83.2</v>
      </c>
      <c r="L38" s="183">
        <v>0</v>
      </c>
      <c r="M38" s="183">
        <v>0</v>
      </c>
      <c r="N38" s="183">
        <v>0</v>
      </c>
      <c r="O38" s="183">
        <v>0</v>
      </c>
      <c r="P38" s="183">
        <v>29.5</v>
      </c>
      <c r="Q38" s="183">
        <v>0</v>
      </c>
      <c r="R38" s="183">
        <v>0</v>
      </c>
      <c r="S38" s="183">
        <v>0</v>
      </c>
      <c r="T38" s="183">
        <v>0.46</v>
      </c>
      <c r="U38" s="188" t="s">
        <v>404</v>
      </c>
      <c r="V38" s="181"/>
      <c r="W38" s="180" t="s">
        <v>33</v>
      </c>
      <c r="X38" s="181">
        <v>47</v>
      </c>
      <c r="Y38" s="181">
        <v>20</v>
      </c>
      <c r="Z38" s="180" t="s">
        <v>327</v>
      </c>
      <c r="AA38" s="188" t="s">
        <v>341</v>
      </c>
      <c r="AB38" s="162">
        <f t="shared" si="0"/>
        <v>-53.7</v>
      </c>
      <c r="AC38" s="20"/>
      <c r="AD38" s="2"/>
    </row>
    <row r="39" spans="1:39" ht="50.25" customHeight="1" x14ac:dyDescent="0.65">
      <c r="A39" s="185"/>
      <c r="B39" s="182"/>
      <c r="C39" s="182"/>
      <c r="D39" s="183"/>
      <c r="E39" s="189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8"/>
      <c r="V39" s="181"/>
      <c r="W39" s="180"/>
      <c r="X39" s="181"/>
      <c r="Y39" s="181"/>
      <c r="Z39" s="180"/>
      <c r="AA39" s="188"/>
      <c r="AB39" s="162">
        <f t="shared" si="0"/>
        <v>0</v>
      </c>
      <c r="AC39" s="20"/>
      <c r="AD39" s="2"/>
    </row>
    <row r="40" spans="1:39" ht="409.5" customHeight="1" x14ac:dyDescent="0.65">
      <c r="A40" s="180" t="s">
        <v>64</v>
      </c>
      <c r="B40" s="182" t="s">
        <v>307</v>
      </c>
      <c r="C40" s="182" t="s">
        <v>29</v>
      </c>
      <c r="D40" s="183">
        <v>895</v>
      </c>
      <c r="E40" s="183">
        <v>0</v>
      </c>
      <c r="F40" s="183">
        <v>0</v>
      </c>
      <c r="G40" s="183">
        <v>0</v>
      </c>
      <c r="H40" s="183">
        <v>0</v>
      </c>
      <c r="I40" s="183">
        <v>895</v>
      </c>
      <c r="J40" s="183">
        <v>0</v>
      </c>
      <c r="K40" s="183">
        <v>0</v>
      </c>
      <c r="L40" s="183">
        <v>0</v>
      </c>
      <c r="M40" s="183">
        <v>0</v>
      </c>
      <c r="N40" s="183">
        <v>565.29999999999995</v>
      </c>
      <c r="O40" s="183">
        <v>0</v>
      </c>
      <c r="P40" s="183">
        <v>0</v>
      </c>
      <c r="Q40" s="183">
        <v>0</v>
      </c>
      <c r="R40" s="183">
        <v>0</v>
      </c>
      <c r="S40" s="183">
        <v>0</v>
      </c>
      <c r="T40" s="183">
        <v>0.72</v>
      </c>
      <c r="U40" s="187" t="s">
        <v>405</v>
      </c>
      <c r="V40" s="181"/>
      <c r="W40" s="180" t="s">
        <v>33</v>
      </c>
      <c r="X40" s="181">
        <v>278</v>
      </c>
      <c r="Y40" s="181">
        <v>187</v>
      </c>
      <c r="Z40" s="180" t="s">
        <v>327</v>
      </c>
      <c r="AA40" s="188" t="s">
        <v>341</v>
      </c>
      <c r="AB40" s="162">
        <f>N40-I40</f>
        <v>-329.70000000000005</v>
      </c>
      <c r="AC40" s="20"/>
      <c r="AD40" s="2"/>
      <c r="AM40" s="142" t="s">
        <v>368</v>
      </c>
    </row>
    <row r="41" spans="1:39" ht="159.75" customHeight="1" x14ac:dyDescent="0.65">
      <c r="A41" s="180"/>
      <c r="B41" s="182"/>
      <c r="C41" s="182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7"/>
      <c r="V41" s="181"/>
      <c r="W41" s="180"/>
      <c r="X41" s="181"/>
      <c r="Y41" s="181"/>
      <c r="Z41" s="180"/>
      <c r="AA41" s="188"/>
      <c r="AB41" s="162">
        <f t="shared" si="0"/>
        <v>0</v>
      </c>
      <c r="AC41" s="20"/>
      <c r="AD41" s="2"/>
    </row>
    <row r="42" spans="1:39" ht="408.75" customHeight="1" x14ac:dyDescent="0.65">
      <c r="A42" s="180" t="s">
        <v>65</v>
      </c>
      <c r="B42" s="182" t="s">
        <v>66</v>
      </c>
      <c r="C42" s="182" t="s">
        <v>29</v>
      </c>
      <c r="D42" s="183">
        <v>0</v>
      </c>
      <c r="E42" s="183">
        <v>3082</v>
      </c>
      <c r="F42" s="183">
        <v>0</v>
      </c>
      <c r="G42" s="183">
        <v>0</v>
      </c>
      <c r="H42" s="183">
        <v>0</v>
      </c>
      <c r="I42" s="183">
        <v>0</v>
      </c>
      <c r="J42" s="183">
        <v>0</v>
      </c>
      <c r="K42" s="183">
        <v>3082</v>
      </c>
      <c r="L42" s="183">
        <v>0</v>
      </c>
      <c r="M42" s="183">
        <v>0</v>
      </c>
      <c r="N42" s="183">
        <v>0</v>
      </c>
      <c r="O42" s="183">
        <v>0</v>
      </c>
      <c r="P42" s="183">
        <v>657.1</v>
      </c>
      <c r="Q42" s="183">
        <v>0</v>
      </c>
      <c r="R42" s="183">
        <v>0</v>
      </c>
      <c r="S42" s="183">
        <v>0</v>
      </c>
      <c r="T42" s="183">
        <v>10.17</v>
      </c>
      <c r="U42" s="188" t="s">
        <v>406</v>
      </c>
      <c r="V42" s="181"/>
      <c r="W42" s="180" t="s">
        <v>33</v>
      </c>
      <c r="X42" s="181">
        <v>428</v>
      </c>
      <c r="Y42" s="181">
        <v>116</v>
      </c>
      <c r="Z42" s="180" t="s">
        <v>327</v>
      </c>
      <c r="AA42" s="115" t="s">
        <v>341</v>
      </c>
      <c r="AB42" s="162">
        <f t="shared" si="0"/>
        <v>-2424.9</v>
      </c>
      <c r="AC42" s="20"/>
      <c r="AD42" s="2"/>
      <c r="AM42" s="142" t="s">
        <v>368</v>
      </c>
    </row>
    <row r="43" spans="1:39" ht="408.75" customHeight="1" x14ac:dyDescent="0.65">
      <c r="A43" s="180"/>
      <c r="B43" s="182"/>
      <c r="C43" s="182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8"/>
      <c r="V43" s="181"/>
      <c r="W43" s="180"/>
      <c r="X43" s="181"/>
      <c r="Y43" s="181"/>
      <c r="Z43" s="180"/>
      <c r="AA43" s="115"/>
      <c r="AB43" s="162"/>
      <c r="AC43" s="20"/>
      <c r="AD43" s="2"/>
    </row>
    <row r="44" spans="1:39" ht="384" customHeight="1" x14ac:dyDescent="0.65">
      <c r="A44" s="180"/>
      <c r="B44" s="182"/>
      <c r="C44" s="182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8"/>
      <c r="V44" s="181"/>
      <c r="W44" s="180"/>
      <c r="X44" s="181"/>
      <c r="Y44" s="181"/>
      <c r="Z44" s="180"/>
      <c r="AA44" s="115"/>
      <c r="AB44" s="162"/>
      <c r="AC44" s="20"/>
      <c r="AD44" s="2"/>
    </row>
    <row r="45" spans="1:39" ht="387.75" x14ac:dyDescent="0.65">
      <c r="A45" s="154" t="s">
        <v>67</v>
      </c>
      <c r="B45" s="149" t="s">
        <v>68</v>
      </c>
      <c r="C45" s="149" t="s">
        <v>29</v>
      </c>
      <c r="D45" s="152">
        <v>0</v>
      </c>
      <c r="E45" s="152">
        <v>36116.300000000003</v>
      </c>
      <c r="F45" s="152">
        <v>0</v>
      </c>
      <c r="G45" s="152">
        <v>0</v>
      </c>
      <c r="H45" s="152">
        <v>0</v>
      </c>
      <c r="I45" s="152">
        <v>0</v>
      </c>
      <c r="J45" s="152">
        <v>0</v>
      </c>
      <c r="K45" s="152">
        <v>36116.300000000003</v>
      </c>
      <c r="L45" s="152">
        <v>0</v>
      </c>
      <c r="M45" s="152">
        <v>0</v>
      </c>
      <c r="N45" s="152">
        <v>0</v>
      </c>
      <c r="O45" s="152">
        <v>0</v>
      </c>
      <c r="P45" s="152">
        <v>13687.8</v>
      </c>
      <c r="Q45" s="152">
        <v>0</v>
      </c>
      <c r="R45" s="152">
        <v>0</v>
      </c>
      <c r="S45" s="152">
        <v>0</v>
      </c>
      <c r="T45" s="152">
        <v>242.06</v>
      </c>
      <c r="U45" s="149" t="s">
        <v>388</v>
      </c>
      <c r="V45" s="151"/>
      <c r="W45" s="148" t="s">
        <v>33</v>
      </c>
      <c r="X45" s="114">
        <v>6327</v>
      </c>
      <c r="Y45" s="114">
        <v>2503</v>
      </c>
      <c r="Z45" s="148" t="s">
        <v>327</v>
      </c>
      <c r="AA45" s="115" t="s">
        <v>341</v>
      </c>
      <c r="AB45" s="162">
        <f t="shared" si="0"/>
        <v>-22428.500000000004</v>
      </c>
      <c r="AC45" s="20"/>
      <c r="AD45" s="2"/>
      <c r="AM45" s="142" t="s">
        <v>369</v>
      </c>
    </row>
    <row r="46" spans="1:39" ht="387" customHeight="1" x14ac:dyDescent="0.65">
      <c r="A46" s="185" t="s">
        <v>69</v>
      </c>
      <c r="B46" s="182" t="s">
        <v>70</v>
      </c>
      <c r="C46" s="182" t="s">
        <v>29</v>
      </c>
      <c r="D46" s="183">
        <v>0</v>
      </c>
      <c r="E46" s="189">
        <v>37.799999999999997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3">
        <v>37.799999999999997</v>
      </c>
      <c r="L46" s="183">
        <v>0</v>
      </c>
      <c r="M46" s="183">
        <v>0</v>
      </c>
      <c r="N46" s="183">
        <v>0</v>
      </c>
      <c r="O46" s="183">
        <v>0</v>
      </c>
      <c r="P46" s="183">
        <v>0</v>
      </c>
      <c r="Q46" s="183">
        <v>0</v>
      </c>
      <c r="R46" s="183">
        <v>0</v>
      </c>
      <c r="S46" s="183">
        <v>0</v>
      </c>
      <c r="T46" s="183">
        <v>0</v>
      </c>
      <c r="U46" s="182" t="s">
        <v>387</v>
      </c>
      <c r="V46" s="190"/>
      <c r="W46" s="182" t="s">
        <v>33</v>
      </c>
      <c r="X46" s="181">
        <v>6</v>
      </c>
      <c r="Y46" s="181">
        <v>0</v>
      </c>
      <c r="Z46" s="180" t="s">
        <v>327</v>
      </c>
      <c r="AA46" s="188" t="s">
        <v>341</v>
      </c>
      <c r="AB46" s="162">
        <f t="shared" si="0"/>
        <v>-37.799999999999997</v>
      </c>
      <c r="AC46" s="20"/>
      <c r="AD46" s="2"/>
      <c r="AM46" s="142" t="s">
        <v>368</v>
      </c>
    </row>
    <row r="47" spans="1:39" ht="161.25" hidden="1" customHeight="1" x14ac:dyDescent="0.65">
      <c r="A47" s="185"/>
      <c r="B47" s="182"/>
      <c r="C47" s="182"/>
      <c r="D47" s="183"/>
      <c r="E47" s="189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2"/>
      <c r="V47" s="190"/>
      <c r="W47" s="182"/>
      <c r="X47" s="181"/>
      <c r="Y47" s="181"/>
      <c r="Z47" s="180"/>
      <c r="AA47" s="188"/>
      <c r="AB47" s="162">
        <f t="shared" si="0"/>
        <v>0</v>
      </c>
      <c r="AC47" s="20"/>
      <c r="AD47" s="2"/>
    </row>
    <row r="48" spans="1:39" ht="396.75" customHeight="1" x14ac:dyDescent="0.65">
      <c r="A48" s="154" t="s">
        <v>71</v>
      </c>
      <c r="B48" s="149" t="s">
        <v>72</v>
      </c>
      <c r="C48" s="149" t="s">
        <v>29</v>
      </c>
      <c r="D48" s="152">
        <v>0</v>
      </c>
      <c r="E48" s="152">
        <v>197.5</v>
      </c>
      <c r="F48" s="152">
        <v>0</v>
      </c>
      <c r="G48" s="152">
        <v>0</v>
      </c>
      <c r="H48" s="152">
        <v>0</v>
      </c>
      <c r="I48" s="152">
        <v>0</v>
      </c>
      <c r="J48" s="152">
        <v>0</v>
      </c>
      <c r="K48" s="152">
        <v>197.5</v>
      </c>
      <c r="L48" s="152">
        <v>0</v>
      </c>
      <c r="M48" s="152">
        <v>0</v>
      </c>
      <c r="N48" s="152">
        <v>0</v>
      </c>
      <c r="O48" s="152">
        <v>0</v>
      </c>
      <c r="P48" s="152">
        <v>15</v>
      </c>
      <c r="Q48" s="152">
        <v>0</v>
      </c>
      <c r="R48" s="152">
        <v>0</v>
      </c>
      <c r="S48" s="152">
        <v>0</v>
      </c>
      <c r="T48" s="152">
        <v>0</v>
      </c>
      <c r="U48" s="149" t="s">
        <v>407</v>
      </c>
      <c r="V48" s="151"/>
      <c r="W48" s="148" t="s">
        <v>33</v>
      </c>
      <c r="X48" s="151">
        <v>13</v>
      </c>
      <c r="Y48" s="151">
        <v>1</v>
      </c>
      <c r="Z48" s="148" t="s">
        <v>327</v>
      </c>
      <c r="AA48" s="115" t="s">
        <v>341</v>
      </c>
      <c r="AB48" s="162">
        <f t="shared" si="0"/>
        <v>-182.5</v>
      </c>
      <c r="AC48" s="20"/>
      <c r="AD48" s="2"/>
      <c r="AM48" s="142" t="s">
        <v>368</v>
      </c>
    </row>
    <row r="49" spans="1:39" ht="382.5" customHeight="1" x14ac:dyDescent="0.65">
      <c r="A49" s="185" t="s">
        <v>73</v>
      </c>
      <c r="B49" s="182" t="s">
        <v>302</v>
      </c>
      <c r="C49" s="182" t="s">
        <v>29</v>
      </c>
      <c r="D49" s="183">
        <v>325321.59999999998</v>
      </c>
      <c r="E49" s="183">
        <v>0</v>
      </c>
      <c r="F49" s="183">
        <v>0</v>
      </c>
      <c r="G49" s="183">
        <v>0</v>
      </c>
      <c r="H49" s="183">
        <v>0</v>
      </c>
      <c r="I49" s="183">
        <v>325321.59999999998</v>
      </c>
      <c r="J49" s="183">
        <v>0</v>
      </c>
      <c r="K49" s="183">
        <v>0</v>
      </c>
      <c r="L49" s="183">
        <v>0</v>
      </c>
      <c r="M49" s="183">
        <v>0</v>
      </c>
      <c r="N49" s="183">
        <v>314085.5</v>
      </c>
      <c r="O49" s="183">
        <v>0</v>
      </c>
      <c r="P49" s="183">
        <v>0</v>
      </c>
      <c r="Q49" s="183">
        <v>0</v>
      </c>
      <c r="R49" s="183">
        <v>0</v>
      </c>
      <c r="S49" s="183">
        <v>0</v>
      </c>
      <c r="T49" s="183">
        <v>527.11699999999996</v>
      </c>
      <c r="U49" s="187" t="s">
        <v>408</v>
      </c>
      <c r="V49" s="181"/>
      <c r="W49" s="180" t="s">
        <v>33</v>
      </c>
      <c r="X49" s="186">
        <v>21997</v>
      </c>
      <c r="Y49" s="186">
        <v>21426</v>
      </c>
      <c r="Z49" s="180" t="s">
        <v>327</v>
      </c>
      <c r="AA49" s="188" t="s">
        <v>341</v>
      </c>
      <c r="AB49" s="162">
        <f>N49-I49</f>
        <v>-11236.099999999977</v>
      </c>
      <c r="AC49" s="20"/>
      <c r="AD49" s="2"/>
      <c r="AM49" s="142" t="s">
        <v>368</v>
      </c>
    </row>
    <row r="50" spans="1:39" ht="15" customHeight="1" x14ac:dyDescent="0.65">
      <c r="A50" s="185"/>
      <c r="B50" s="182"/>
      <c r="C50" s="182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7"/>
      <c r="V50" s="181"/>
      <c r="W50" s="180"/>
      <c r="X50" s="186"/>
      <c r="Y50" s="186"/>
      <c r="Z50" s="180"/>
      <c r="AA50" s="188"/>
      <c r="AB50" s="162">
        <f t="shared" si="0"/>
        <v>0</v>
      </c>
      <c r="AC50" s="20"/>
      <c r="AD50" s="2"/>
    </row>
    <row r="51" spans="1:39" ht="388.5" customHeight="1" x14ac:dyDescent="0.65">
      <c r="A51" s="116" t="s">
        <v>74</v>
      </c>
      <c r="B51" s="149" t="s">
        <v>308</v>
      </c>
      <c r="C51" s="149" t="s">
        <v>29</v>
      </c>
      <c r="D51" s="152">
        <v>0</v>
      </c>
      <c r="E51" s="152">
        <v>89540.5</v>
      </c>
      <c r="F51" s="152">
        <v>0</v>
      </c>
      <c r="G51" s="152">
        <v>0</v>
      </c>
      <c r="H51" s="152">
        <v>0</v>
      </c>
      <c r="I51" s="152">
        <v>0</v>
      </c>
      <c r="J51" s="152">
        <v>0</v>
      </c>
      <c r="K51" s="152">
        <v>89540.5</v>
      </c>
      <c r="L51" s="152">
        <v>0</v>
      </c>
      <c r="M51" s="152">
        <v>0</v>
      </c>
      <c r="N51" s="152">
        <v>0</v>
      </c>
      <c r="O51" s="152">
        <v>0</v>
      </c>
      <c r="P51" s="152">
        <v>56028.3</v>
      </c>
      <c r="Q51" s="152">
        <v>0</v>
      </c>
      <c r="R51" s="152">
        <v>0</v>
      </c>
      <c r="S51" s="152">
        <v>0</v>
      </c>
      <c r="T51" s="152">
        <v>735.7</v>
      </c>
      <c r="U51" s="118" t="s">
        <v>409</v>
      </c>
      <c r="V51" s="112"/>
      <c r="W51" s="112" t="s">
        <v>33</v>
      </c>
      <c r="X51" s="151">
        <v>148</v>
      </c>
      <c r="Y51" s="151">
        <v>162</v>
      </c>
      <c r="Z51" s="148" t="s">
        <v>34</v>
      </c>
      <c r="AA51" s="115"/>
      <c r="AB51" s="162">
        <f t="shared" si="0"/>
        <v>-33512.199999999997</v>
      </c>
      <c r="AC51" s="20"/>
      <c r="AD51" s="2"/>
      <c r="AM51" s="142" t="s">
        <v>368</v>
      </c>
    </row>
    <row r="52" spans="1:39" ht="408.75" customHeight="1" x14ac:dyDescent="0.65">
      <c r="A52" s="185" t="s">
        <v>75</v>
      </c>
      <c r="B52" s="182" t="s">
        <v>296</v>
      </c>
      <c r="C52" s="182" t="s">
        <v>29</v>
      </c>
      <c r="D52" s="183">
        <v>0</v>
      </c>
      <c r="E52" s="189">
        <v>1830.6</v>
      </c>
      <c r="F52" s="183">
        <v>0</v>
      </c>
      <c r="G52" s="183">
        <v>0</v>
      </c>
      <c r="H52" s="183">
        <v>0</v>
      </c>
      <c r="I52" s="183">
        <v>0</v>
      </c>
      <c r="J52" s="183">
        <v>0</v>
      </c>
      <c r="K52" s="183">
        <v>1830.6</v>
      </c>
      <c r="L52" s="183">
        <v>0</v>
      </c>
      <c r="M52" s="183">
        <v>0</v>
      </c>
      <c r="N52" s="183">
        <v>0</v>
      </c>
      <c r="O52" s="183">
        <v>0</v>
      </c>
      <c r="P52" s="183">
        <v>167.6</v>
      </c>
      <c r="Q52" s="183">
        <v>0</v>
      </c>
      <c r="R52" s="183">
        <v>0</v>
      </c>
      <c r="S52" s="183">
        <v>0</v>
      </c>
      <c r="T52" s="183">
        <v>0</v>
      </c>
      <c r="U52" s="187" t="s">
        <v>410</v>
      </c>
      <c r="V52" s="180"/>
      <c r="W52" s="181" t="s">
        <v>33</v>
      </c>
      <c r="X52" s="181">
        <v>10</v>
      </c>
      <c r="Y52" s="181">
        <v>8</v>
      </c>
      <c r="Z52" s="180" t="s">
        <v>327</v>
      </c>
      <c r="AA52" s="182" t="s">
        <v>341</v>
      </c>
      <c r="AB52" s="162">
        <f t="shared" si="0"/>
        <v>-1663</v>
      </c>
      <c r="AC52" s="20"/>
      <c r="AD52" s="2"/>
      <c r="AM52" s="142" t="s">
        <v>369</v>
      </c>
    </row>
    <row r="53" spans="1:39" ht="153.75" customHeight="1" x14ac:dyDescent="0.65">
      <c r="A53" s="185"/>
      <c r="B53" s="182"/>
      <c r="C53" s="182"/>
      <c r="D53" s="183"/>
      <c r="E53" s="189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7"/>
      <c r="V53" s="180"/>
      <c r="W53" s="181"/>
      <c r="X53" s="181"/>
      <c r="Y53" s="181"/>
      <c r="Z53" s="180"/>
      <c r="AA53" s="182"/>
      <c r="AB53" s="162">
        <f t="shared" si="0"/>
        <v>0</v>
      </c>
      <c r="AC53" s="20"/>
      <c r="AD53" s="2"/>
    </row>
    <row r="54" spans="1:39" ht="408.75" customHeight="1" x14ac:dyDescent="0.65">
      <c r="A54" s="185" t="s">
        <v>76</v>
      </c>
      <c r="B54" s="182" t="s">
        <v>352</v>
      </c>
      <c r="C54" s="182" t="s">
        <v>29</v>
      </c>
      <c r="D54" s="183">
        <v>0</v>
      </c>
      <c r="E54" s="189">
        <v>17539.2</v>
      </c>
      <c r="F54" s="183">
        <v>0</v>
      </c>
      <c r="G54" s="183">
        <v>0</v>
      </c>
      <c r="H54" s="183">
        <v>0</v>
      </c>
      <c r="I54" s="183">
        <v>0</v>
      </c>
      <c r="J54" s="183">
        <v>0</v>
      </c>
      <c r="K54" s="183">
        <v>17539.2</v>
      </c>
      <c r="L54" s="183">
        <v>0</v>
      </c>
      <c r="M54" s="183">
        <v>0</v>
      </c>
      <c r="N54" s="183">
        <v>0</v>
      </c>
      <c r="O54" s="183">
        <v>0</v>
      </c>
      <c r="P54" s="183">
        <v>9188.2999999999993</v>
      </c>
      <c r="Q54" s="183">
        <v>0</v>
      </c>
      <c r="R54" s="183">
        <v>0</v>
      </c>
      <c r="S54" s="183">
        <v>0</v>
      </c>
      <c r="T54" s="183">
        <v>128.34</v>
      </c>
      <c r="U54" s="187" t="s">
        <v>411</v>
      </c>
      <c r="V54" s="180"/>
      <c r="W54" s="181" t="s">
        <v>33</v>
      </c>
      <c r="X54" s="181">
        <v>48</v>
      </c>
      <c r="Y54" s="181">
        <v>48</v>
      </c>
      <c r="Z54" s="180" t="s">
        <v>34</v>
      </c>
      <c r="AA54" s="149" t="s">
        <v>341</v>
      </c>
      <c r="AB54" s="162">
        <f t="shared" si="0"/>
        <v>-8350.9000000000015</v>
      </c>
      <c r="AC54" s="20"/>
      <c r="AD54" s="2"/>
      <c r="AM54" s="142" t="s">
        <v>368</v>
      </c>
    </row>
    <row r="55" spans="1:39" ht="191.25" customHeight="1" x14ac:dyDescent="0.65">
      <c r="A55" s="185"/>
      <c r="B55" s="182"/>
      <c r="C55" s="182"/>
      <c r="D55" s="183"/>
      <c r="E55" s="189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7"/>
      <c r="V55" s="180"/>
      <c r="W55" s="181"/>
      <c r="X55" s="181"/>
      <c r="Y55" s="181"/>
      <c r="Z55" s="180"/>
      <c r="AA55" s="149"/>
      <c r="AB55" s="162"/>
      <c r="AC55" s="20"/>
      <c r="AD55" s="2"/>
    </row>
    <row r="56" spans="1:39" ht="409.5" customHeight="1" x14ac:dyDescent="0.65">
      <c r="A56" s="116" t="s">
        <v>77</v>
      </c>
      <c r="B56" s="149" t="s">
        <v>546</v>
      </c>
      <c r="C56" s="149" t="s">
        <v>29</v>
      </c>
      <c r="D56" s="152">
        <v>0</v>
      </c>
      <c r="E56" s="131">
        <v>139.1</v>
      </c>
      <c r="F56" s="152">
        <v>0</v>
      </c>
      <c r="G56" s="152">
        <v>0</v>
      </c>
      <c r="H56" s="152">
        <v>0</v>
      </c>
      <c r="I56" s="152">
        <v>0</v>
      </c>
      <c r="J56" s="152">
        <v>0</v>
      </c>
      <c r="K56" s="152">
        <v>139.1</v>
      </c>
      <c r="L56" s="152">
        <v>0</v>
      </c>
      <c r="M56" s="152">
        <v>0</v>
      </c>
      <c r="N56" s="152">
        <v>0</v>
      </c>
      <c r="O56" s="152">
        <v>0</v>
      </c>
      <c r="P56" s="152">
        <v>125.6</v>
      </c>
      <c r="Q56" s="152">
        <v>0</v>
      </c>
      <c r="R56" s="152">
        <v>0</v>
      </c>
      <c r="S56" s="152">
        <v>0</v>
      </c>
      <c r="T56" s="152">
        <v>1.84</v>
      </c>
      <c r="U56" s="118" t="s">
        <v>412</v>
      </c>
      <c r="V56" s="19"/>
      <c r="W56" s="112" t="s">
        <v>33</v>
      </c>
      <c r="X56" s="151">
        <v>14</v>
      </c>
      <c r="Y56" s="151">
        <v>11</v>
      </c>
      <c r="Z56" s="148" t="s">
        <v>327</v>
      </c>
      <c r="AA56" s="115" t="s">
        <v>341</v>
      </c>
      <c r="AB56" s="162">
        <f t="shared" si="0"/>
        <v>-13.5</v>
      </c>
      <c r="AC56" s="20"/>
      <c r="AD56" s="2"/>
      <c r="AM56" s="142" t="s">
        <v>369</v>
      </c>
    </row>
    <row r="57" spans="1:39" ht="396" customHeight="1" x14ac:dyDescent="0.65">
      <c r="A57" s="185" t="s">
        <v>78</v>
      </c>
      <c r="B57" s="182" t="s">
        <v>301</v>
      </c>
      <c r="C57" s="182" t="s">
        <v>29</v>
      </c>
      <c r="D57" s="183">
        <v>0</v>
      </c>
      <c r="E57" s="189">
        <v>46978.5</v>
      </c>
      <c r="F57" s="183">
        <v>0</v>
      </c>
      <c r="G57" s="183">
        <v>0</v>
      </c>
      <c r="H57" s="183">
        <v>0</v>
      </c>
      <c r="I57" s="183">
        <v>0</v>
      </c>
      <c r="J57" s="183">
        <v>0</v>
      </c>
      <c r="K57" s="183">
        <v>46978.5</v>
      </c>
      <c r="L57" s="183">
        <v>0</v>
      </c>
      <c r="M57" s="183">
        <v>0</v>
      </c>
      <c r="N57" s="183">
        <v>0</v>
      </c>
      <c r="O57" s="183">
        <v>0</v>
      </c>
      <c r="P57" s="183">
        <v>25876.6</v>
      </c>
      <c r="Q57" s="183">
        <v>0</v>
      </c>
      <c r="R57" s="183">
        <v>0</v>
      </c>
      <c r="S57" s="183">
        <v>0</v>
      </c>
      <c r="T57" s="183">
        <v>377.68</v>
      </c>
      <c r="U57" s="187" t="s">
        <v>413</v>
      </c>
      <c r="V57" s="180"/>
      <c r="W57" s="180" t="s">
        <v>33</v>
      </c>
      <c r="X57" s="186">
        <v>1471</v>
      </c>
      <c r="Y57" s="186">
        <v>1364</v>
      </c>
      <c r="Z57" s="180" t="s">
        <v>327</v>
      </c>
      <c r="AA57" s="182" t="s">
        <v>341</v>
      </c>
      <c r="AB57" s="162">
        <f t="shared" si="0"/>
        <v>-21101.9</v>
      </c>
      <c r="AC57" s="20"/>
      <c r="AD57" s="2"/>
      <c r="AM57" s="142" t="s">
        <v>369</v>
      </c>
    </row>
    <row r="58" spans="1:39" ht="39.75" hidden="1" customHeight="1" x14ac:dyDescent="0.65">
      <c r="A58" s="185"/>
      <c r="B58" s="182"/>
      <c r="C58" s="182"/>
      <c r="D58" s="183"/>
      <c r="E58" s="189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7"/>
      <c r="V58" s="180"/>
      <c r="W58" s="180"/>
      <c r="X58" s="186"/>
      <c r="Y58" s="186"/>
      <c r="Z58" s="180"/>
      <c r="AA58" s="182"/>
      <c r="AB58" s="162">
        <f t="shared" si="0"/>
        <v>0</v>
      </c>
      <c r="AC58" s="20"/>
      <c r="AD58" s="2"/>
    </row>
    <row r="59" spans="1:39" ht="404.25" customHeight="1" x14ac:dyDescent="0.65">
      <c r="A59" s="180" t="s">
        <v>79</v>
      </c>
      <c r="B59" s="182" t="s">
        <v>547</v>
      </c>
      <c r="C59" s="182" t="s">
        <v>29</v>
      </c>
      <c r="D59" s="183">
        <v>0</v>
      </c>
      <c r="E59" s="189">
        <v>1636169.7</v>
      </c>
      <c r="F59" s="183">
        <v>0</v>
      </c>
      <c r="G59" s="183">
        <v>0</v>
      </c>
      <c r="H59" s="183">
        <v>0</v>
      </c>
      <c r="I59" s="183">
        <v>0</v>
      </c>
      <c r="J59" s="183">
        <v>0</v>
      </c>
      <c r="K59" s="183">
        <v>1636169.7</v>
      </c>
      <c r="L59" s="183">
        <v>0</v>
      </c>
      <c r="M59" s="183">
        <v>0</v>
      </c>
      <c r="N59" s="183">
        <v>0</v>
      </c>
      <c r="O59" s="183">
        <v>0</v>
      </c>
      <c r="P59" s="183">
        <v>620260</v>
      </c>
      <c r="Q59" s="183">
        <v>0</v>
      </c>
      <c r="R59" s="183">
        <v>0</v>
      </c>
      <c r="S59" s="183">
        <v>0</v>
      </c>
      <c r="T59" s="183">
        <v>0</v>
      </c>
      <c r="U59" s="182" t="s">
        <v>414</v>
      </c>
      <c r="V59" s="181"/>
      <c r="W59" s="180" t="s">
        <v>80</v>
      </c>
      <c r="X59" s="199">
        <v>414.7</v>
      </c>
      <c r="Y59" s="201">
        <v>359.7</v>
      </c>
      <c r="Z59" s="180" t="s">
        <v>327</v>
      </c>
      <c r="AA59" s="115" t="s">
        <v>341</v>
      </c>
      <c r="AB59" s="162">
        <f t="shared" si="0"/>
        <v>-1015909.7</v>
      </c>
      <c r="AC59" s="20"/>
      <c r="AD59" s="2"/>
      <c r="AM59" s="142" t="s">
        <v>369</v>
      </c>
    </row>
    <row r="60" spans="1:39" ht="404.25" customHeight="1" x14ac:dyDescent="0.65">
      <c r="A60" s="180"/>
      <c r="B60" s="182"/>
      <c r="C60" s="182"/>
      <c r="D60" s="183"/>
      <c r="E60" s="189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2"/>
      <c r="V60" s="181"/>
      <c r="W60" s="180"/>
      <c r="X60" s="199"/>
      <c r="Y60" s="201"/>
      <c r="Z60" s="180"/>
      <c r="AA60" s="115"/>
      <c r="AB60" s="162"/>
      <c r="AC60" s="20"/>
      <c r="AD60" s="2"/>
    </row>
    <row r="61" spans="1:39" ht="404.25" customHeight="1" x14ac:dyDescent="0.65">
      <c r="A61" s="180"/>
      <c r="B61" s="182"/>
      <c r="C61" s="182"/>
      <c r="D61" s="183"/>
      <c r="E61" s="189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2"/>
      <c r="V61" s="181"/>
      <c r="W61" s="180"/>
      <c r="X61" s="199"/>
      <c r="Y61" s="201"/>
      <c r="Z61" s="180"/>
      <c r="AA61" s="115"/>
      <c r="AB61" s="162"/>
      <c r="AC61" s="20"/>
      <c r="AD61" s="2"/>
    </row>
    <row r="62" spans="1:39" ht="399.75" customHeight="1" x14ac:dyDescent="0.65">
      <c r="A62" s="180"/>
      <c r="B62" s="182"/>
      <c r="C62" s="182"/>
      <c r="D62" s="183"/>
      <c r="E62" s="189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2"/>
      <c r="V62" s="181"/>
      <c r="W62" s="180"/>
      <c r="X62" s="199"/>
      <c r="Y62" s="201"/>
      <c r="Z62" s="180"/>
      <c r="AA62" s="115"/>
      <c r="AB62" s="162"/>
      <c r="AC62" s="20"/>
      <c r="AD62" s="2"/>
    </row>
    <row r="63" spans="1:39" ht="409.6" customHeight="1" x14ac:dyDescent="0.65">
      <c r="A63" s="180" t="s">
        <v>81</v>
      </c>
      <c r="B63" s="182" t="s">
        <v>548</v>
      </c>
      <c r="C63" s="182" t="s">
        <v>29</v>
      </c>
      <c r="D63" s="183">
        <v>0</v>
      </c>
      <c r="E63" s="189">
        <v>14485.6</v>
      </c>
      <c r="F63" s="183">
        <v>0</v>
      </c>
      <c r="G63" s="183">
        <v>0</v>
      </c>
      <c r="H63" s="183">
        <v>0</v>
      </c>
      <c r="I63" s="183">
        <v>0</v>
      </c>
      <c r="J63" s="183">
        <v>0</v>
      </c>
      <c r="K63" s="183">
        <v>14485.6</v>
      </c>
      <c r="L63" s="183">
        <v>0</v>
      </c>
      <c r="M63" s="183">
        <v>0</v>
      </c>
      <c r="N63" s="183">
        <v>0</v>
      </c>
      <c r="O63" s="183">
        <v>0</v>
      </c>
      <c r="P63" s="183">
        <v>1923.6</v>
      </c>
      <c r="Q63" s="183">
        <v>0</v>
      </c>
      <c r="R63" s="183">
        <v>0</v>
      </c>
      <c r="S63" s="183">
        <v>0</v>
      </c>
      <c r="T63" s="183">
        <v>0</v>
      </c>
      <c r="U63" s="182" t="s">
        <v>415</v>
      </c>
      <c r="V63" s="181"/>
      <c r="W63" s="180" t="s">
        <v>82</v>
      </c>
      <c r="X63" s="200">
        <v>21230</v>
      </c>
      <c r="Y63" s="186">
        <v>2280.1</v>
      </c>
      <c r="Z63" s="180" t="s">
        <v>327</v>
      </c>
      <c r="AA63" s="115" t="s">
        <v>341</v>
      </c>
      <c r="AB63" s="162">
        <f t="shared" si="0"/>
        <v>-12562</v>
      </c>
      <c r="AC63" s="20"/>
      <c r="AD63" s="2"/>
      <c r="AM63" s="142" t="s">
        <v>369</v>
      </c>
    </row>
    <row r="64" spans="1:39" ht="226.5" customHeight="1" x14ac:dyDescent="0.65">
      <c r="A64" s="180"/>
      <c r="B64" s="182"/>
      <c r="C64" s="182"/>
      <c r="D64" s="183"/>
      <c r="E64" s="189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2"/>
      <c r="V64" s="181"/>
      <c r="W64" s="180"/>
      <c r="X64" s="200"/>
      <c r="Y64" s="186"/>
      <c r="Z64" s="180"/>
      <c r="AA64" s="115"/>
      <c r="AB64" s="162"/>
      <c r="AC64" s="20"/>
      <c r="AD64" s="2"/>
    </row>
    <row r="65" spans="1:39" ht="387.75" x14ac:dyDescent="0.65">
      <c r="A65" s="148" t="s">
        <v>83</v>
      </c>
      <c r="B65" s="149" t="s">
        <v>84</v>
      </c>
      <c r="C65" s="149" t="s">
        <v>29</v>
      </c>
      <c r="D65" s="152">
        <v>0</v>
      </c>
      <c r="E65" s="131">
        <v>783636.4</v>
      </c>
      <c r="F65" s="131">
        <v>0</v>
      </c>
      <c r="G65" s="152">
        <v>0</v>
      </c>
      <c r="H65" s="152">
        <v>0</v>
      </c>
      <c r="I65" s="152">
        <v>0</v>
      </c>
      <c r="J65" s="152">
        <v>0</v>
      </c>
      <c r="K65" s="152">
        <v>783636.4</v>
      </c>
      <c r="L65" s="152">
        <v>0</v>
      </c>
      <c r="M65" s="152">
        <v>0</v>
      </c>
      <c r="N65" s="152">
        <v>0</v>
      </c>
      <c r="O65" s="152">
        <v>0</v>
      </c>
      <c r="P65" s="152">
        <v>320177.90000000002</v>
      </c>
      <c r="Q65" s="152">
        <v>0</v>
      </c>
      <c r="R65" s="152">
        <v>0</v>
      </c>
      <c r="S65" s="152">
        <v>0</v>
      </c>
      <c r="T65" s="152">
        <v>4467.96</v>
      </c>
      <c r="U65" s="113" t="s">
        <v>416</v>
      </c>
      <c r="V65" s="151"/>
      <c r="W65" s="148" t="s">
        <v>33</v>
      </c>
      <c r="X65" s="114">
        <v>77323</v>
      </c>
      <c r="Y65" s="114">
        <v>53854</v>
      </c>
      <c r="Z65" s="148" t="s">
        <v>327</v>
      </c>
      <c r="AA65" s="115" t="s">
        <v>341</v>
      </c>
      <c r="AB65" s="162">
        <f t="shared" si="0"/>
        <v>-463458.5</v>
      </c>
      <c r="AC65" s="20"/>
      <c r="AD65" s="2"/>
      <c r="AM65" s="142" t="s">
        <v>368</v>
      </c>
    </row>
    <row r="66" spans="1:39" ht="388.5" customHeight="1" x14ac:dyDescent="0.65">
      <c r="A66" s="112" t="s">
        <v>85</v>
      </c>
      <c r="B66" s="149" t="s">
        <v>86</v>
      </c>
      <c r="C66" s="149" t="s">
        <v>29</v>
      </c>
      <c r="D66" s="152">
        <v>0</v>
      </c>
      <c r="E66" s="131">
        <v>3296.5</v>
      </c>
      <c r="F66" s="131">
        <v>0</v>
      </c>
      <c r="G66" s="152">
        <v>0</v>
      </c>
      <c r="H66" s="152">
        <v>0</v>
      </c>
      <c r="I66" s="152">
        <v>0</v>
      </c>
      <c r="J66" s="152">
        <v>0</v>
      </c>
      <c r="K66" s="152">
        <v>3296.5</v>
      </c>
      <c r="L66" s="152">
        <v>0</v>
      </c>
      <c r="M66" s="152">
        <v>0</v>
      </c>
      <c r="N66" s="152">
        <v>0</v>
      </c>
      <c r="O66" s="152">
        <v>0</v>
      </c>
      <c r="P66" s="152">
        <v>137.5</v>
      </c>
      <c r="Q66" s="152">
        <v>0</v>
      </c>
      <c r="R66" s="152">
        <v>0</v>
      </c>
      <c r="S66" s="152">
        <v>0</v>
      </c>
      <c r="T66" s="152">
        <v>1.95</v>
      </c>
      <c r="U66" s="118" t="s">
        <v>417</v>
      </c>
      <c r="V66" s="19"/>
      <c r="W66" s="112" t="s">
        <v>33</v>
      </c>
      <c r="X66" s="114">
        <v>2855</v>
      </c>
      <c r="Y66" s="114">
        <v>136</v>
      </c>
      <c r="Z66" s="148" t="s">
        <v>327</v>
      </c>
      <c r="AA66" s="115" t="s">
        <v>341</v>
      </c>
      <c r="AB66" s="162">
        <f t="shared" si="0"/>
        <v>-3159</v>
      </c>
      <c r="AC66" s="20"/>
      <c r="AD66" s="2"/>
      <c r="AM66" s="142" t="s">
        <v>368</v>
      </c>
    </row>
    <row r="67" spans="1:39" ht="409.6" customHeight="1" x14ac:dyDescent="0.65">
      <c r="A67" s="112" t="s">
        <v>353</v>
      </c>
      <c r="B67" s="149" t="s">
        <v>549</v>
      </c>
      <c r="C67" s="149" t="s">
        <v>29</v>
      </c>
      <c r="D67" s="152">
        <v>11973.3</v>
      </c>
      <c r="E67" s="131">
        <v>18537.2</v>
      </c>
      <c r="F67" s="131">
        <v>0</v>
      </c>
      <c r="G67" s="152">
        <v>0</v>
      </c>
      <c r="H67" s="152">
        <v>0</v>
      </c>
      <c r="I67" s="152">
        <v>11973.3</v>
      </c>
      <c r="J67" s="152">
        <v>0</v>
      </c>
      <c r="K67" s="152">
        <v>0</v>
      </c>
      <c r="L67" s="152">
        <v>0</v>
      </c>
      <c r="M67" s="152">
        <v>0</v>
      </c>
      <c r="N67" s="152">
        <v>11973.3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18"/>
      <c r="V67" s="19"/>
      <c r="W67" s="112" t="s">
        <v>33</v>
      </c>
      <c r="X67" s="114">
        <v>18</v>
      </c>
      <c r="Y67" s="114">
        <v>4</v>
      </c>
      <c r="Z67" s="148" t="s">
        <v>545</v>
      </c>
      <c r="AA67" s="115" t="s">
        <v>341</v>
      </c>
      <c r="AB67" s="162">
        <f t="shared" si="0"/>
        <v>0</v>
      </c>
      <c r="AC67" s="20"/>
      <c r="AD67" s="2"/>
      <c r="AM67" s="142" t="s">
        <v>370</v>
      </c>
    </row>
    <row r="68" spans="1:39" ht="409.6" customHeight="1" x14ac:dyDescent="0.65">
      <c r="A68" s="154" t="s">
        <v>87</v>
      </c>
      <c r="B68" s="149" t="s">
        <v>550</v>
      </c>
      <c r="C68" s="149" t="s">
        <v>29</v>
      </c>
      <c r="D68" s="152">
        <v>56931.7</v>
      </c>
      <c r="E68" s="131">
        <v>0</v>
      </c>
      <c r="F68" s="131">
        <v>0</v>
      </c>
      <c r="G68" s="152">
        <v>0</v>
      </c>
      <c r="H68" s="152">
        <v>0</v>
      </c>
      <c r="I68" s="152">
        <v>56931.7</v>
      </c>
      <c r="J68" s="152">
        <v>0</v>
      </c>
      <c r="K68" s="152">
        <v>0</v>
      </c>
      <c r="L68" s="152">
        <v>0</v>
      </c>
      <c r="M68" s="152">
        <v>0</v>
      </c>
      <c r="N68" s="152">
        <v>56931.7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13"/>
      <c r="V68" s="151"/>
      <c r="W68" s="148" t="s">
        <v>33</v>
      </c>
      <c r="X68" s="114">
        <v>67</v>
      </c>
      <c r="Y68" s="114">
        <v>2</v>
      </c>
      <c r="Z68" s="148" t="s">
        <v>545</v>
      </c>
      <c r="AA68" s="115"/>
      <c r="AB68" s="162">
        <f>N68-I68</f>
        <v>0</v>
      </c>
      <c r="AC68" s="20"/>
      <c r="AD68" s="2"/>
      <c r="AM68" s="142" t="s">
        <v>370</v>
      </c>
    </row>
    <row r="69" spans="1:39" ht="408.75" customHeight="1" x14ac:dyDescent="0.65">
      <c r="A69" s="154" t="s">
        <v>88</v>
      </c>
      <c r="B69" s="149" t="s">
        <v>551</v>
      </c>
      <c r="C69" s="119" t="s">
        <v>29</v>
      </c>
      <c r="D69" s="152">
        <v>36757</v>
      </c>
      <c r="E69" s="152">
        <v>0</v>
      </c>
      <c r="F69" s="152">
        <v>0</v>
      </c>
      <c r="G69" s="152">
        <v>0</v>
      </c>
      <c r="H69" s="152">
        <v>0</v>
      </c>
      <c r="I69" s="152">
        <v>36757</v>
      </c>
      <c r="J69" s="152">
        <v>0</v>
      </c>
      <c r="K69" s="152">
        <v>0</v>
      </c>
      <c r="L69" s="152">
        <v>0</v>
      </c>
      <c r="M69" s="152">
        <v>0</v>
      </c>
      <c r="N69" s="152">
        <v>36757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19"/>
      <c r="V69" s="154"/>
      <c r="W69" s="154" t="s">
        <v>89</v>
      </c>
      <c r="X69" s="154" t="s">
        <v>319</v>
      </c>
      <c r="Y69" s="154" t="s">
        <v>544</v>
      </c>
      <c r="Z69" s="148" t="s">
        <v>545</v>
      </c>
      <c r="AA69" s="119"/>
      <c r="AB69" s="162">
        <f>N69-I69</f>
        <v>0</v>
      </c>
      <c r="AC69" s="20"/>
      <c r="AD69" s="2"/>
      <c r="AM69" s="142" t="s">
        <v>370</v>
      </c>
    </row>
    <row r="70" spans="1:39" ht="408.75" customHeight="1" x14ac:dyDescent="0.65">
      <c r="A70" s="154" t="s">
        <v>315</v>
      </c>
      <c r="B70" s="149" t="s">
        <v>316</v>
      </c>
      <c r="C70" s="119" t="s">
        <v>29</v>
      </c>
      <c r="D70" s="152">
        <v>0</v>
      </c>
      <c r="E70" s="152">
        <v>452562.1</v>
      </c>
      <c r="F70" s="152">
        <v>0</v>
      </c>
      <c r="G70" s="152">
        <v>0</v>
      </c>
      <c r="H70" s="152">
        <v>0</v>
      </c>
      <c r="I70" s="152">
        <v>0</v>
      </c>
      <c r="J70" s="152">
        <v>0</v>
      </c>
      <c r="K70" s="152">
        <v>452562.1</v>
      </c>
      <c r="L70" s="152">
        <v>0</v>
      </c>
      <c r="M70" s="152">
        <v>0</v>
      </c>
      <c r="N70" s="152">
        <v>0</v>
      </c>
      <c r="O70" s="152">
        <v>0</v>
      </c>
      <c r="P70" s="152">
        <v>298181.5</v>
      </c>
      <c r="Q70" s="152">
        <v>0</v>
      </c>
      <c r="R70" s="152">
        <v>0</v>
      </c>
      <c r="S70" s="152">
        <v>0</v>
      </c>
      <c r="T70" s="152">
        <v>4280.42</v>
      </c>
      <c r="U70" s="119" t="s">
        <v>418</v>
      </c>
      <c r="V70" s="154"/>
      <c r="W70" s="154" t="s">
        <v>33</v>
      </c>
      <c r="X70" s="154" t="s">
        <v>320</v>
      </c>
      <c r="Y70" s="154" t="s">
        <v>386</v>
      </c>
      <c r="Z70" s="154" t="s">
        <v>327</v>
      </c>
      <c r="AA70" s="119" t="s">
        <v>341</v>
      </c>
      <c r="AB70" s="162">
        <f t="shared" si="0"/>
        <v>-154380.59999999998</v>
      </c>
      <c r="AC70" s="20"/>
      <c r="AD70" s="2"/>
      <c r="AM70" s="142" t="s">
        <v>371</v>
      </c>
    </row>
    <row r="71" spans="1:39" ht="153" customHeight="1" x14ac:dyDescent="0.65">
      <c r="A71" s="154" t="s">
        <v>90</v>
      </c>
      <c r="B71" s="11" t="s">
        <v>91</v>
      </c>
      <c r="C71" s="11"/>
      <c r="D71" s="130">
        <f>D72+D75+D81+D83+D85+D86+D87+D89+D91+D84</f>
        <v>0</v>
      </c>
      <c r="E71" s="130">
        <f>E72+E75+E81+E83+E85+E86+E87+E89+E91+E84+E93+E92</f>
        <v>11459001.099999998</v>
      </c>
      <c r="F71" s="130">
        <f>F72+F75+F81+F83+F85+F86+F87+F89+F91+F84</f>
        <v>0</v>
      </c>
      <c r="G71" s="130">
        <f>G72+G75+G81+G83+G85+G86+G87+G89+G91+G84</f>
        <v>0</v>
      </c>
      <c r="H71" s="130">
        <f>H72+H75+H81+H83+H85+H86+H87+H89+H91+H84</f>
        <v>0</v>
      </c>
      <c r="I71" s="130">
        <f>I72+I75+I81+I83+I85+I86+I87+I89+I91+I84</f>
        <v>0</v>
      </c>
      <c r="J71" s="130">
        <f>J72+J75+J81+J83+J85+J86+J87+J89+J91+J84</f>
        <v>0</v>
      </c>
      <c r="K71" s="130">
        <f>K72+K75+K81+K83+K85+K86+K87+K89+K91+K84+K92+K93</f>
        <v>11442325.1</v>
      </c>
      <c r="L71" s="130">
        <f t="shared" ref="L71:T71" si="3">L72+L75+L81+L83+L85+L86+L87+L89+L91+L84</f>
        <v>0</v>
      </c>
      <c r="M71" s="130">
        <f t="shared" si="3"/>
        <v>0</v>
      </c>
      <c r="N71" s="130"/>
      <c r="O71" s="130">
        <f t="shared" si="3"/>
        <v>0</v>
      </c>
      <c r="P71" s="130">
        <f t="shared" si="3"/>
        <v>6014541.9000000004</v>
      </c>
      <c r="Q71" s="130">
        <f t="shared" si="3"/>
        <v>0</v>
      </c>
      <c r="R71" s="130">
        <f t="shared" si="3"/>
        <v>0</v>
      </c>
      <c r="S71" s="130">
        <f t="shared" si="3"/>
        <v>0</v>
      </c>
      <c r="T71" s="130">
        <f t="shared" si="3"/>
        <v>305738.22000000003</v>
      </c>
      <c r="U71" s="10" t="s">
        <v>25</v>
      </c>
      <c r="V71" s="10" t="s">
        <v>25</v>
      </c>
      <c r="W71" s="10" t="s">
        <v>25</v>
      </c>
      <c r="X71" s="10" t="s">
        <v>25</v>
      </c>
      <c r="Y71" s="10"/>
      <c r="Z71" s="10" t="s">
        <v>25</v>
      </c>
      <c r="AA71" s="25"/>
      <c r="AB71" s="162">
        <f t="shared" si="0"/>
        <v>-5427783.1999999993</v>
      </c>
      <c r="AC71" s="163">
        <f>(N71+P71)/(I71+K71)*100</f>
        <v>52.563983695936066</v>
      </c>
      <c r="AD71" s="2"/>
      <c r="AG71" s="14" t="e">
        <f>N71/I71*100</f>
        <v>#DIV/0!</v>
      </c>
      <c r="AH71" s="14">
        <f>P71/K71*100</f>
        <v>52.563983695936066</v>
      </c>
      <c r="AM71" s="143"/>
    </row>
    <row r="72" spans="1:39" ht="222" customHeight="1" x14ac:dyDescent="0.65">
      <c r="A72" s="154" t="s">
        <v>92</v>
      </c>
      <c r="B72" s="149" t="s">
        <v>93</v>
      </c>
      <c r="C72" s="149" t="s">
        <v>29</v>
      </c>
      <c r="D72" s="152">
        <v>0</v>
      </c>
      <c r="E72" s="131">
        <v>21050.6</v>
      </c>
      <c r="F72" s="152">
        <v>0</v>
      </c>
      <c r="G72" s="152">
        <v>0</v>
      </c>
      <c r="H72" s="152">
        <v>0</v>
      </c>
      <c r="I72" s="152">
        <v>0</v>
      </c>
      <c r="J72" s="152">
        <v>0</v>
      </c>
      <c r="K72" s="152">
        <v>21050.6</v>
      </c>
      <c r="L72" s="152">
        <v>0</v>
      </c>
      <c r="M72" s="152">
        <v>0</v>
      </c>
      <c r="N72" s="152"/>
      <c r="O72" s="152">
        <v>0</v>
      </c>
      <c r="P72" s="152">
        <f>P73+P74</f>
        <v>8130.9</v>
      </c>
      <c r="Q72" s="152">
        <v>0</v>
      </c>
      <c r="R72" s="152">
        <v>0</v>
      </c>
      <c r="S72" s="152"/>
      <c r="T72" s="152">
        <f>T73+T74</f>
        <v>9927.2999999999993</v>
      </c>
      <c r="U72" s="113"/>
      <c r="V72" s="151"/>
      <c r="W72" s="151" t="s">
        <v>33</v>
      </c>
      <c r="X72" s="114">
        <v>3300</v>
      </c>
      <c r="Y72" s="114">
        <v>1217</v>
      </c>
      <c r="Z72" s="148" t="s">
        <v>327</v>
      </c>
      <c r="AA72" s="149" t="s">
        <v>342</v>
      </c>
      <c r="AB72" s="162">
        <f t="shared" si="0"/>
        <v>-12919.699999999999</v>
      </c>
      <c r="AC72" s="20"/>
      <c r="AD72" s="2"/>
    </row>
    <row r="73" spans="1:39" ht="387.75" x14ac:dyDescent="0.65">
      <c r="A73" s="154" t="s">
        <v>27</v>
      </c>
      <c r="B73" s="149" t="s">
        <v>94</v>
      </c>
      <c r="C73" s="149" t="s">
        <v>29</v>
      </c>
      <c r="D73" s="152">
        <v>0</v>
      </c>
      <c r="E73" s="152">
        <v>9808.2999999999993</v>
      </c>
      <c r="F73" s="152">
        <v>0</v>
      </c>
      <c r="G73" s="152">
        <v>0</v>
      </c>
      <c r="H73" s="152">
        <v>0</v>
      </c>
      <c r="I73" s="152">
        <v>0</v>
      </c>
      <c r="J73" s="152">
        <v>0</v>
      </c>
      <c r="K73" s="152">
        <v>9808.2999999999993</v>
      </c>
      <c r="L73" s="152">
        <v>0</v>
      </c>
      <c r="M73" s="152">
        <v>0</v>
      </c>
      <c r="N73" s="152">
        <v>0</v>
      </c>
      <c r="O73" s="152">
        <v>0</v>
      </c>
      <c r="P73" s="152">
        <v>3360</v>
      </c>
      <c r="Q73" s="152">
        <v>0</v>
      </c>
      <c r="R73" s="152">
        <v>0</v>
      </c>
      <c r="S73" s="152">
        <v>0</v>
      </c>
      <c r="T73" s="152">
        <v>4440.7</v>
      </c>
      <c r="U73" s="113" t="s">
        <v>453</v>
      </c>
      <c r="V73" s="151" t="s">
        <v>25</v>
      </c>
      <c r="W73" s="151" t="s">
        <v>25</v>
      </c>
      <c r="X73" s="151" t="s">
        <v>25</v>
      </c>
      <c r="Y73" s="151"/>
      <c r="Z73" s="151" t="s">
        <v>25</v>
      </c>
      <c r="AA73" s="135"/>
      <c r="AB73" s="162">
        <f t="shared" si="0"/>
        <v>-6448.2999999999993</v>
      </c>
      <c r="AC73" s="20"/>
      <c r="AD73" s="2"/>
    </row>
    <row r="74" spans="1:39" ht="387.75" x14ac:dyDescent="0.65">
      <c r="A74" s="154" t="s">
        <v>95</v>
      </c>
      <c r="B74" s="149" t="s">
        <v>96</v>
      </c>
      <c r="C74" s="149" t="s">
        <v>29</v>
      </c>
      <c r="D74" s="152">
        <v>0</v>
      </c>
      <c r="E74" s="152">
        <v>11242.3</v>
      </c>
      <c r="F74" s="152">
        <v>0</v>
      </c>
      <c r="G74" s="152">
        <v>0</v>
      </c>
      <c r="H74" s="152">
        <v>0</v>
      </c>
      <c r="I74" s="152">
        <v>0</v>
      </c>
      <c r="J74" s="152">
        <v>0</v>
      </c>
      <c r="K74" s="152">
        <v>11242.3</v>
      </c>
      <c r="L74" s="152">
        <v>0</v>
      </c>
      <c r="M74" s="152">
        <v>0</v>
      </c>
      <c r="N74" s="152">
        <v>0</v>
      </c>
      <c r="O74" s="152">
        <v>0</v>
      </c>
      <c r="P74" s="152">
        <v>4770.8999999999996</v>
      </c>
      <c r="Q74" s="152">
        <v>0</v>
      </c>
      <c r="R74" s="152"/>
      <c r="S74" s="152">
        <v>0</v>
      </c>
      <c r="T74" s="152">
        <f>5457.2+7.5-53.5+75.4</f>
        <v>5486.5999999999995</v>
      </c>
      <c r="U74" s="113" t="s">
        <v>452</v>
      </c>
      <c r="V74" s="151" t="s">
        <v>25</v>
      </c>
      <c r="W74" s="151" t="s">
        <v>25</v>
      </c>
      <c r="X74" s="151" t="s">
        <v>25</v>
      </c>
      <c r="Y74" s="151"/>
      <c r="Z74" s="151" t="s">
        <v>25</v>
      </c>
      <c r="AA74" s="12"/>
      <c r="AB74" s="162">
        <f t="shared" si="0"/>
        <v>-6471.4</v>
      </c>
      <c r="AC74" s="20"/>
      <c r="AD74" s="2"/>
      <c r="AK74" s="123">
        <v>12919.7</v>
      </c>
    </row>
    <row r="75" spans="1:39" ht="387.75" x14ac:dyDescent="0.65">
      <c r="A75" s="154" t="s">
        <v>97</v>
      </c>
      <c r="B75" s="149" t="s">
        <v>98</v>
      </c>
      <c r="C75" s="149" t="s">
        <v>29</v>
      </c>
      <c r="D75" s="152">
        <v>0</v>
      </c>
      <c r="E75" s="152">
        <f>E76+E77</f>
        <v>11343718.199999997</v>
      </c>
      <c r="F75" s="152">
        <v>0</v>
      </c>
      <c r="G75" s="152">
        <v>0</v>
      </c>
      <c r="H75" s="152">
        <v>0</v>
      </c>
      <c r="I75" s="152">
        <v>0</v>
      </c>
      <c r="J75" s="152">
        <v>0</v>
      </c>
      <c r="K75" s="152">
        <v>11327042.199999999</v>
      </c>
      <c r="L75" s="152">
        <v>0</v>
      </c>
      <c r="M75" s="152">
        <v>0</v>
      </c>
      <c r="N75" s="152">
        <v>0</v>
      </c>
      <c r="O75" s="152">
        <v>0</v>
      </c>
      <c r="P75" s="152">
        <f>P76+P77</f>
        <v>5990610.8999999994</v>
      </c>
      <c r="Q75" s="152">
        <v>0</v>
      </c>
      <c r="R75" s="152">
        <v>0</v>
      </c>
      <c r="S75" s="152">
        <v>0</v>
      </c>
      <c r="T75" s="152">
        <f>T76+T78+T79+T80</f>
        <v>284699.27</v>
      </c>
      <c r="U75" s="117" t="s">
        <v>419</v>
      </c>
      <c r="V75" s="151" t="s">
        <v>25</v>
      </c>
      <c r="W75" s="151" t="s">
        <v>25</v>
      </c>
      <c r="X75" s="151" t="s">
        <v>25</v>
      </c>
      <c r="Y75" s="144"/>
      <c r="Z75" s="151" t="s">
        <v>25</v>
      </c>
      <c r="AA75" s="12"/>
      <c r="AB75" s="162">
        <f t="shared" si="0"/>
        <v>-5336431.3</v>
      </c>
      <c r="AC75" s="20"/>
      <c r="AD75" s="2"/>
      <c r="AM75" s="145"/>
    </row>
    <row r="76" spans="1:39" ht="392.25" customHeight="1" x14ac:dyDescent="0.65">
      <c r="A76" s="116" t="s">
        <v>99</v>
      </c>
      <c r="B76" s="149" t="s">
        <v>100</v>
      </c>
      <c r="C76" s="149" t="s">
        <v>29</v>
      </c>
      <c r="D76" s="152">
        <v>0</v>
      </c>
      <c r="E76" s="152">
        <v>787617.2</v>
      </c>
      <c r="F76" s="152">
        <v>0</v>
      </c>
      <c r="G76" s="152">
        <v>0</v>
      </c>
      <c r="H76" s="152">
        <v>0</v>
      </c>
      <c r="I76" s="152">
        <v>0</v>
      </c>
      <c r="J76" s="152">
        <v>0</v>
      </c>
      <c r="K76" s="152">
        <v>778519.6</v>
      </c>
      <c r="L76" s="152">
        <v>0</v>
      </c>
      <c r="M76" s="152">
        <v>0</v>
      </c>
      <c r="N76" s="152"/>
      <c r="O76" s="152">
        <v>0</v>
      </c>
      <c r="P76" s="152">
        <v>320964.5</v>
      </c>
      <c r="Q76" s="152">
        <v>0</v>
      </c>
      <c r="R76" s="152">
        <v>0</v>
      </c>
      <c r="S76" s="152">
        <v>0</v>
      </c>
      <c r="T76" s="152">
        <v>63088.800000000003</v>
      </c>
      <c r="U76" s="117" t="s">
        <v>420</v>
      </c>
      <c r="V76" s="19"/>
      <c r="W76" s="112" t="s">
        <v>101</v>
      </c>
      <c r="X76" s="151">
        <v>50</v>
      </c>
      <c r="Y76" s="151">
        <v>50</v>
      </c>
      <c r="Z76" s="148" t="s">
        <v>34</v>
      </c>
      <c r="AA76" s="149"/>
      <c r="AB76" s="162">
        <f t="shared" si="0"/>
        <v>-457555.1</v>
      </c>
      <c r="AC76" s="20"/>
      <c r="AD76" s="2"/>
    </row>
    <row r="77" spans="1:39" ht="211.5" x14ac:dyDescent="0.65">
      <c r="A77" s="154" t="s">
        <v>102</v>
      </c>
      <c r="B77" s="149" t="s">
        <v>103</v>
      </c>
      <c r="C77" s="149" t="s">
        <v>29</v>
      </c>
      <c r="D77" s="152">
        <v>0</v>
      </c>
      <c r="E77" s="131">
        <f>E78+E79+E80</f>
        <v>10556100.999999998</v>
      </c>
      <c r="F77" s="131">
        <v>0</v>
      </c>
      <c r="G77" s="152">
        <v>0</v>
      </c>
      <c r="H77" s="152">
        <v>0</v>
      </c>
      <c r="I77" s="152">
        <v>0</v>
      </c>
      <c r="J77" s="152">
        <v>0</v>
      </c>
      <c r="K77" s="152">
        <v>10548522.6</v>
      </c>
      <c r="L77" s="152">
        <v>0</v>
      </c>
      <c r="M77" s="152">
        <v>0</v>
      </c>
      <c r="N77" s="152"/>
      <c r="O77" s="152">
        <v>0</v>
      </c>
      <c r="P77" s="152">
        <f>P78+P79+P80</f>
        <v>5669646.3999999994</v>
      </c>
      <c r="Q77" s="152">
        <v>0</v>
      </c>
      <c r="R77" s="152">
        <v>0</v>
      </c>
      <c r="S77" s="152">
        <v>0</v>
      </c>
      <c r="T77" s="152">
        <f>T78+T79+T80</f>
        <v>221610.46999999997</v>
      </c>
      <c r="U77" s="151"/>
      <c r="V77" s="151" t="s">
        <v>25</v>
      </c>
      <c r="W77" s="151" t="s">
        <v>25</v>
      </c>
      <c r="X77" s="151" t="s">
        <v>25</v>
      </c>
      <c r="Y77" s="151"/>
      <c r="Z77" s="151" t="s">
        <v>25</v>
      </c>
      <c r="AA77" s="12"/>
      <c r="AB77" s="162">
        <f t="shared" si="0"/>
        <v>-4878876.2</v>
      </c>
      <c r="AC77" s="20"/>
      <c r="AD77" s="2"/>
    </row>
    <row r="78" spans="1:39" ht="394.5" customHeight="1" x14ac:dyDescent="0.65">
      <c r="A78" s="154" t="s">
        <v>104</v>
      </c>
      <c r="B78" s="149" t="s">
        <v>105</v>
      </c>
      <c r="C78" s="149" t="s">
        <v>29</v>
      </c>
      <c r="D78" s="152">
        <v>0</v>
      </c>
      <c r="E78" s="131">
        <v>10375258.199999999</v>
      </c>
      <c r="F78" s="131">
        <v>0</v>
      </c>
      <c r="G78" s="152">
        <v>0</v>
      </c>
      <c r="H78" s="152">
        <v>0</v>
      </c>
      <c r="I78" s="152">
        <v>0</v>
      </c>
      <c r="J78" s="152">
        <v>0</v>
      </c>
      <c r="K78" s="152">
        <v>10383777</v>
      </c>
      <c r="L78" s="152">
        <v>0</v>
      </c>
      <c r="M78" s="152">
        <v>0</v>
      </c>
      <c r="N78" s="152"/>
      <c r="O78" s="152">
        <v>0</v>
      </c>
      <c r="P78" s="152">
        <v>5647162.5999999996</v>
      </c>
      <c r="Q78" s="152">
        <v>0</v>
      </c>
      <c r="R78" s="152">
        <v>0</v>
      </c>
      <c r="S78" s="152">
        <v>0</v>
      </c>
      <c r="T78" s="152">
        <f>202400.8+908.18-3743.9+2578.3+1887.5</f>
        <v>204030.87999999998</v>
      </c>
      <c r="U78" s="149" t="s">
        <v>421</v>
      </c>
      <c r="V78" s="151"/>
      <c r="W78" s="148" t="s">
        <v>33</v>
      </c>
      <c r="X78" s="147">
        <v>178315</v>
      </c>
      <c r="Y78" s="147">
        <f>162+94650+306</f>
        <v>95118</v>
      </c>
      <c r="Z78" s="148" t="s">
        <v>327</v>
      </c>
      <c r="AA78" s="149" t="s">
        <v>342</v>
      </c>
      <c r="AB78" s="162">
        <f t="shared" si="0"/>
        <v>-4736614.4000000004</v>
      </c>
      <c r="AC78" s="20"/>
      <c r="AD78" s="2"/>
      <c r="AG78" s="13">
        <f>P78/K78*100</f>
        <v>54.384474936239478</v>
      </c>
    </row>
    <row r="79" spans="1:39" ht="393" customHeight="1" x14ac:dyDescent="0.65">
      <c r="A79" s="154" t="s">
        <v>106</v>
      </c>
      <c r="B79" s="149" t="s">
        <v>107</v>
      </c>
      <c r="C79" s="149" t="s">
        <v>29</v>
      </c>
      <c r="D79" s="152">
        <v>0</v>
      </c>
      <c r="E79" s="152">
        <v>156205.70000000001</v>
      </c>
      <c r="F79" s="152">
        <v>0</v>
      </c>
      <c r="G79" s="152">
        <v>0</v>
      </c>
      <c r="H79" s="152">
        <v>0</v>
      </c>
      <c r="I79" s="152">
        <v>0</v>
      </c>
      <c r="J79" s="152">
        <v>0</v>
      </c>
      <c r="K79" s="152">
        <v>140108.5</v>
      </c>
      <c r="L79" s="152">
        <v>0</v>
      </c>
      <c r="M79" s="152">
        <v>0</v>
      </c>
      <c r="N79" s="152"/>
      <c r="O79" s="152">
        <v>0</v>
      </c>
      <c r="P79" s="152">
        <v>11478.8</v>
      </c>
      <c r="Q79" s="152">
        <v>0</v>
      </c>
      <c r="R79" s="152">
        <v>0</v>
      </c>
      <c r="S79" s="152">
        <v>0</v>
      </c>
      <c r="T79" s="152">
        <f>14232.85+16.3</f>
        <v>14249.15</v>
      </c>
      <c r="U79" s="149" t="s">
        <v>422</v>
      </c>
      <c r="V79" s="151"/>
      <c r="W79" s="148" t="s">
        <v>101</v>
      </c>
      <c r="X79" s="151">
        <v>41</v>
      </c>
      <c r="Y79" s="151">
        <v>0</v>
      </c>
      <c r="Z79" s="148" t="s">
        <v>456</v>
      </c>
      <c r="AA79" s="149" t="s">
        <v>342</v>
      </c>
      <c r="AB79" s="162">
        <f t="shared" si="0"/>
        <v>-128629.7</v>
      </c>
      <c r="AC79" s="20"/>
      <c r="AD79" s="2"/>
    </row>
    <row r="80" spans="1:39" ht="393.75" customHeight="1" x14ac:dyDescent="0.65">
      <c r="A80" s="116" t="s">
        <v>108</v>
      </c>
      <c r="B80" s="149" t="s">
        <v>109</v>
      </c>
      <c r="C80" s="149" t="s">
        <v>29</v>
      </c>
      <c r="D80" s="152">
        <v>0</v>
      </c>
      <c r="E80" s="152">
        <v>24637.1</v>
      </c>
      <c r="F80" s="152">
        <v>0</v>
      </c>
      <c r="G80" s="152">
        <v>0</v>
      </c>
      <c r="H80" s="152">
        <v>0</v>
      </c>
      <c r="I80" s="152">
        <v>0</v>
      </c>
      <c r="J80" s="152">
        <v>0</v>
      </c>
      <c r="K80" s="152">
        <v>24637.1</v>
      </c>
      <c r="L80" s="152">
        <v>0</v>
      </c>
      <c r="M80" s="152">
        <v>0</v>
      </c>
      <c r="N80" s="152">
        <v>0</v>
      </c>
      <c r="O80" s="152">
        <v>0</v>
      </c>
      <c r="P80" s="152">
        <v>11005</v>
      </c>
      <c r="Q80" s="152">
        <v>0</v>
      </c>
      <c r="R80" s="152">
        <v>0</v>
      </c>
      <c r="S80" s="152">
        <v>0</v>
      </c>
      <c r="T80" s="152">
        <f>3156.44+174</f>
        <v>3330.44</v>
      </c>
      <c r="U80" s="149" t="s">
        <v>423</v>
      </c>
      <c r="V80" s="112"/>
      <c r="W80" s="19" t="s">
        <v>33</v>
      </c>
      <c r="X80" s="114">
        <v>9737</v>
      </c>
      <c r="Y80" s="114">
        <v>9649</v>
      </c>
      <c r="Z80" s="148" t="s">
        <v>327</v>
      </c>
      <c r="AA80" s="149" t="s">
        <v>343</v>
      </c>
      <c r="AB80" s="162">
        <f t="shared" si="0"/>
        <v>-13632.099999999999</v>
      </c>
      <c r="AC80" s="20"/>
      <c r="AD80" s="2"/>
    </row>
    <row r="81" spans="1:39" ht="408.75" customHeight="1" x14ac:dyDescent="0.65">
      <c r="A81" s="185" t="s">
        <v>50</v>
      </c>
      <c r="B81" s="182" t="s">
        <v>110</v>
      </c>
      <c r="C81" s="182" t="s">
        <v>29</v>
      </c>
      <c r="D81" s="183">
        <v>0</v>
      </c>
      <c r="E81" s="183">
        <v>1633.6</v>
      </c>
      <c r="F81" s="183">
        <v>0</v>
      </c>
      <c r="G81" s="183">
        <v>0</v>
      </c>
      <c r="H81" s="183">
        <v>0</v>
      </c>
      <c r="I81" s="183">
        <v>0</v>
      </c>
      <c r="J81" s="183">
        <v>0</v>
      </c>
      <c r="K81" s="183">
        <v>1633.6</v>
      </c>
      <c r="L81" s="183">
        <v>0</v>
      </c>
      <c r="M81" s="183">
        <v>0</v>
      </c>
      <c r="N81" s="183">
        <v>0</v>
      </c>
      <c r="O81" s="183">
        <v>0</v>
      </c>
      <c r="P81" s="183">
        <v>0</v>
      </c>
      <c r="Q81" s="183">
        <v>0</v>
      </c>
      <c r="R81" s="183">
        <v>0</v>
      </c>
      <c r="S81" s="183">
        <v>0</v>
      </c>
      <c r="T81" s="183">
        <v>0</v>
      </c>
      <c r="U81" s="187" t="s">
        <v>347</v>
      </c>
      <c r="V81" s="180"/>
      <c r="W81" s="180" t="s">
        <v>101</v>
      </c>
      <c r="X81" s="181">
        <v>6</v>
      </c>
      <c r="Y81" s="181">
        <v>0</v>
      </c>
      <c r="Z81" s="180" t="s">
        <v>327</v>
      </c>
      <c r="AA81" s="115" t="s">
        <v>342</v>
      </c>
      <c r="AB81" s="162">
        <f t="shared" si="0"/>
        <v>-1633.6</v>
      </c>
      <c r="AC81" s="20"/>
      <c r="AD81" s="2"/>
      <c r="AM81" s="142" t="s">
        <v>372</v>
      </c>
    </row>
    <row r="82" spans="1:39" ht="180.75" customHeight="1" x14ac:dyDescent="0.65">
      <c r="A82" s="185"/>
      <c r="B82" s="182"/>
      <c r="C82" s="182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7"/>
      <c r="V82" s="180"/>
      <c r="W82" s="180"/>
      <c r="X82" s="181"/>
      <c r="Y82" s="181"/>
      <c r="Z82" s="180"/>
      <c r="AA82" s="115"/>
      <c r="AB82" s="162"/>
      <c r="AC82" s="20"/>
      <c r="AD82" s="2"/>
    </row>
    <row r="83" spans="1:39" ht="408.75" customHeight="1" x14ac:dyDescent="0.65">
      <c r="A83" s="112" t="s">
        <v>53</v>
      </c>
      <c r="B83" s="149" t="s">
        <v>111</v>
      </c>
      <c r="C83" s="149" t="s">
        <v>29</v>
      </c>
      <c r="D83" s="152">
        <v>0</v>
      </c>
      <c r="E83" s="152">
        <v>3462.9</v>
      </c>
      <c r="F83" s="152">
        <v>0</v>
      </c>
      <c r="G83" s="152">
        <v>0</v>
      </c>
      <c r="H83" s="152">
        <v>0</v>
      </c>
      <c r="I83" s="152">
        <v>0</v>
      </c>
      <c r="J83" s="152">
        <v>0</v>
      </c>
      <c r="K83" s="152">
        <v>3462.9</v>
      </c>
      <c r="L83" s="152">
        <v>0</v>
      </c>
      <c r="M83" s="152">
        <v>0</v>
      </c>
      <c r="N83" s="152">
        <v>0</v>
      </c>
      <c r="O83" s="152">
        <v>0</v>
      </c>
      <c r="P83" s="152">
        <v>3462.9</v>
      </c>
      <c r="Q83" s="152">
        <v>0</v>
      </c>
      <c r="R83" s="152">
        <v>0</v>
      </c>
      <c r="S83" s="152">
        <v>0</v>
      </c>
      <c r="T83" s="152">
        <v>0</v>
      </c>
      <c r="U83" s="112"/>
      <c r="V83" s="112"/>
      <c r="W83" s="112" t="s">
        <v>112</v>
      </c>
      <c r="X83" s="151">
        <v>3</v>
      </c>
      <c r="Y83" s="151">
        <v>0</v>
      </c>
      <c r="Z83" s="148" t="s">
        <v>457</v>
      </c>
      <c r="AA83" s="149" t="s">
        <v>342</v>
      </c>
      <c r="AB83" s="162">
        <f t="shared" si="0"/>
        <v>0</v>
      </c>
      <c r="AC83" s="20"/>
      <c r="AD83" s="23"/>
      <c r="AM83" s="142" t="s">
        <v>373</v>
      </c>
    </row>
    <row r="84" spans="1:39" ht="408" customHeight="1" x14ac:dyDescent="0.65">
      <c r="A84" s="112" t="s">
        <v>113</v>
      </c>
      <c r="B84" s="149" t="s">
        <v>267</v>
      </c>
      <c r="C84" s="149" t="s">
        <v>29</v>
      </c>
      <c r="D84" s="152">
        <v>0</v>
      </c>
      <c r="E84" s="152">
        <v>1260</v>
      </c>
      <c r="F84" s="152">
        <v>0</v>
      </c>
      <c r="G84" s="152">
        <v>0</v>
      </c>
      <c r="H84" s="152">
        <v>0</v>
      </c>
      <c r="I84" s="152">
        <v>0</v>
      </c>
      <c r="J84" s="152">
        <v>0</v>
      </c>
      <c r="K84" s="152">
        <v>1260</v>
      </c>
      <c r="L84" s="152">
        <v>0</v>
      </c>
      <c r="M84" s="152">
        <v>0</v>
      </c>
      <c r="N84" s="152">
        <v>0</v>
      </c>
      <c r="O84" s="152">
        <v>0</v>
      </c>
      <c r="P84" s="152">
        <v>13.7</v>
      </c>
      <c r="Q84" s="152">
        <v>0</v>
      </c>
      <c r="R84" s="152">
        <v>0</v>
      </c>
      <c r="S84" s="152">
        <v>0</v>
      </c>
      <c r="T84" s="152">
        <v>0</v>
      </c>
      <c r="U84" s="112" t="s">
        <v>360</v>
      </c>
      <c r="V84" s="112"/>
      <c r="W84" s="112" t="s">
        <v>114</v>
      </c>
      <c r="X84" s="151">
        <v>25</v>
      </c>
      <c r="Y84" s="151">
        <v>0</v>
      </c>
      <c r="Z84" s="148" t="s">
        <v>327</v>
      </c>
      <c r="AA84" s="149" t="s">
        <v>342</v>
      </c>
      <c r="AB84" s="162">
        <f t="shared" si="0"/>
        <v>-1246.3</v>
      </c>
      <c r="AC84" s="20"/>
      <c r="AD84" s="2"/>
      <c r="AM84" s="142" t="s">
        <v>373</v>
      </c>
    </row>
    <row r="85" spans="1:39" ht="401.25" customHeight="1" x14ac:dyDescent="0.65">
      <c r="A85" s="116" t="s">
        <v>115</v>
      </c>
      <c r="B85" s="149" t="s">
        <v>116</v>
      </c>
      <c r="C85" s="149" t="s">
        <v>29</v>
      </c>
      <c r="D85" s="152">
        <v>0</v>
      </c>
      <c r="E85" s="152">
        <v>700</v>
      </c>
      <c r="F85" s="152">
        <v>0</v>
      </c>
      <c r="G85" s="152">
        <v>0</v>
      </c>
      <c r="H85" s="152">
        <v>0</v>
      </c>
      <c r="I85" s="152">
        <v>0</v>
      </c>
      <c r="J85" s="152">
        <v>0</v>
      </c>
      <c r="K85" s="152">
        <v>700</v>
      </c>
      <c r="L85" s="152">
        <v>0</v>
      </c>
      <c r="M85" s="152">
        <v>0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18" t="s">
        <v>348</v>
      </c>
      <c r="V85" s="19"/>
      <c r="W85" s="112" t="s">
        <v>33</v>
      </c>
      <c r="X85" s="114">
        <v>1020</v>
      </c>
      <c r="Y85" s="151">
        <v>0</v>
      </c>
      <c r="Z85" s="148" t="s">
        <v>327</v>
      </c>
      <c r="AA85" s="149" t="s">
        <v>342</v>
      </c>
      <c r="AB85" s="162">
        <f t="shared" si="0"/>
        <v>-700</v>
      </c>
      <c r="AC85" s="20"/>
      <c r="AD85" s="2"/>
      <c r="AM85" s="142" t="s">
        <v>373</v>
      </c>
    </row>
    <row r="86" spans="1:39" ht="387.75" x14ac:dyDescent="0.65">
      <c r="A86" s="154" t="s">
        <v>117</v>
      </c>
      <c r="B86" s="149" t="s">
        <v>118</v>
      </c>
      <c r="C86" s="149" t="s">
        <v>29</v>
      </c>
      <c r="D86" s="152">
        <v>0</v>
      </c>
      <c r="E86" s="152">
        <v>15832.4</v>
      </c>
      <c r="F86" s="152">
        <v>0</v>
      </c>
      <c r="G86" s="152">
        <v>0</v>
      </c>
      <c r="H86" s="152">
        <v>0</v>
      </c>
      <c r="I86" s="152">
        <v>0</v>
      </c>
      <c r="J86" s="152">
        <v>0</v>
      </c>
      <c r="K86" s="152">
        <v>15832.4</v>
      </c>
      <c r="L86" s="152">
        <v>0</v>
      </c>
      <c r="M86" s="152">
        <v>0</v>
      </c>
      <c r="N86" s="152">
        <v>0</v>
      </c>
      <c r="O86" s="152">
        <v>0</v>
      </c>
      <c r="P86" s="152">
        <v>7923.5</v>
      </c>
      <c r="Q86" s="152">
        <v>0</v>
      </c>
      <c r="R86" s="152">
        <v>0</v>
      </c>
      <c r="S86" s="152">
        <v>0</v>
      </c>
      <c r="T86" s="152">
        <f>6391.65+330.9+209.1</f>
        <v>6931.65</v>
      </c>
      <c r="U86" s="149" t="s">
        <v>361</v>
      </c>
      <c r="V86" s="151"/>
      <c r="W86" s="148" t="s">
        <v>33</v>
      </c>
      <c r="X86" s="151">
        <v>290</v>
      </c>
      <c r="Y86" s="151">
        <v>281</v>
      </c>
      <c r="Z86" s="148" t="s">
        <v>327</v>
      </c>
      <c r="AA86" s="149" t="s">
        <v>342</v>
      </c>
      <c r="AB86" s="162">
        <f t="shared" si="0"/>
        <v>-7908.9</v>
      </c>
      <c r="AC86" s="20"/>
      <c r="AD86" s="2"/>
      <c r="AM86" s="142" t="s">
        <v>373</v>
      </c>
    </row>
    <row r="87" spans="1:39" ht="408.75" customHeight="1" x14ac:dyDescent="0.65">
      <c r="A87" s="185" t="s">
        <v>119</v>
      </c>
      <c r="B87" s="182" t="s">
        <v>303</v>
      </c>
      <c r="C87" s="182" t="s">
        <v>29</v>
      </c>
      <c r="D87" s="183">
        <v>0</v>
      </c>
      <c r="E87" s="183">
        <v>1000</v>
      </c>
      <c r="F87" s="183">
        <v>0</v>
      </c>
      <c r="G87" s="183">
        <v>0</v>
      </c>
      <c r="H87" s="183">
        <v>0</v>
      </c>
      <c r="I87" s="183">
        <v>0</v>
      </c>
      <c r="J87" s="183">
        <v>0</v>
      </c>
      <c r="K87" s="183">
        <v>1000</v>
      </c>
      <c r="L87" s="183">
        <v>0</v>
      </c>
      <c r="M87" s="183">
        <v>0</v>
      </c>
      <c r="N87" s="183">
        <v>0</v>
      </c>
      <c r="O87" s="183">
        <v>0</v>
      </c>
      <c r="P87" s="183">
        <v>0</v>
      </c>
      <c r="Q87" s="183">
        <v>0</v>
      </c>
      <c r="R87" s="183">
        <v>0</v>
      </c>
      <c r="S87" s="183">
        <v>0</v>
      </c>
      <c r="T87" s="183">
        <v>0</v>
      </c>
      <c r="U87" s="182" t="s">
        <v>424</v>
      </c>
      <c r="V87" s="181"/>
      <c r="W87" s="180" t="s">
        <v>120</v>
      </c>
      <c r="X87" s="181">
        <v>200</v>
      </c>
      <c r="Y87" s="181">
        <v>0</v>
      </c>
      <c r="Z87" s="180" t="s">
        <v>327</v>
      </c>
      <c r="AA87" s="182" t="s">
        <v>342</v>
      </c>
      <c r="AB87" s="162">
        <f t="shared" si="0"/>
        <v>-1000</v>
      </c>
      <c r="AC87" s="20"/>
      <c r="AD87" s="2"/>
      <c r="AG87" s="13">
        <f>1000/1250*100</f>
        <v>80</v>
      </c>
      <c r="AM87" s="142" t="s">
        <v>373</v>
      </c>
    </row>
    <row r="88" spans="1:39" ht="98.25" customHeight="1" x14ac:dyDescent="0.65">
      <c r="A88" s="185"/>
      <c r="B88" s="182"/>
      <c r="C88" s="182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2"/>
      <c r="V88" s="181"/>
      <c r="W88" s="180"/>
      <c r="X88" s="181"/>
      <c r="Y88" s="181"/>
      <c r="Z88" s="180"/>
      <c r="AA88" s="182"/>
      <c r="AB88" s="162">
        <f t="shared" si="0"/>
        <v>0</v>
      </c>
      <c r="AC88" s="20"/>
      <c r="AD88" s="2"/>
      <c r="AG88" s="13"/>
    </row>
    <row r="89" spans="1:39" ht="408.75" customHeight="1" x14ac:dyDescent="0.65">
      <c r="A89" s="180" t="s">
        <v>121</v>
      </c>
      <c r="B89" s="182" t="s">
        <v>542</v>
      </c>
      <c r="C89" s="182" t="s">
        <v>29</v>
      </c>
      <c r="D89" s="183">
        <v>0</v>
      </c>
      <c r="E89" s="183">
        <v>32910</v>
      </c>
      <c r="F89" s="183">
        <v>0</v>
      </c>
      <c r="G89" s="183">
        <v>0</v>
      </c>
      <c r="H89" s="183">
        <v>0</v>
      </c>
      <c r="I89" s="183">
        <v>0</v>
      </c>
      <c r="J89" s="183">
        <v>0</v>
      </c>
      <c r="K89" s="183">
        <v>32910</v>
      </c>
      <c r="L89" s="183">
        <v>0</v>
      </c>
      <c r="M89" s="183">
        <v>0</v>
      </c>
      <c r="N89" s="183">
        <v>0</v>
      </c>
      <c r="O89" s="183">
        <v>0</v>
      </c>
      <c r="P89" s="183">
        <v>0</v>
      </c>
      <c r="Q89" s="183">
        <v>0</v>
      </c>
      <c r="R89" s="183">
        <v>0</v>
      </c>
      <c r="S89" s="183">
        <v>0</v>
      </c>
      <c r="T89" s="183">
        <v>0</v>
      </c>
      <c r="U89" s="182" t="s">
        <v>464</v>
      </c>
      <c r="V89" s="181"/>
      <c r="W89" s="180" t="s">
        <v>122</v>
      </c>
      <c r="X89" s="180" t="s">
        <v>321</v>
      </c>
      <c r="Y89" s="202">
        <v>0</v>
      </c>
      <c r="Z89" s="180" t="s">
        <v>451</v>
      </c>
      <c r="AA89" s="149" t="s">
        <v>359</v>
      </c>
      <c r="AB89" s="162">
        <f t="shared" ref="AB89:AB145" si="4">P89-K89</f>
        <v>-32910</v>
      </c>
      <c r="AC89" s="165"/>
      <c r="AD89" s="24"/>
      <c r="AM89" s="142" t="s">
        <v>374</v>
      </c>
    </row>
    <row r="90" spans="1:39" ht="18.75" customHeight="1" x14ac:dyDescent="0.65">
      <c r="A90" s="180"/>
      <c r="B90" s="182"/>
      <c r="C90" s="182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2"/>
      <c r="V90" s="181"/>
      <c r="W90" s="180"/>
      <c r="X90" s="180"/>
      <c r="Y90" s="202"/>
      <c r="Z90" s="180"/>
      <c r="AA90" s="149"/>
      <c r="AB90" s="162"/>
      <c r="AC90" s="165"/>
      <c r="AD90" s="24"/>
    </row>
    <row r="91" spans="1:39" ht="409.5" x14ac:dyDescent="0.65">
      <c r="A91" s="112" t="s">
        <v>123</v>
      </c>
      <c r="B91" s="149" t="s">
        <v>351</v>
      </c>
      <c r="C91" s="149" t="s">
        <v>29</v>
      </c>
      <c r="D91" s="152">
        <v>0</v>
      </c>
      <c r="E91" s="131">
        <v>4400</v>
      </c>
      <c r="F91" s="152">
        <v>0</v>
      </c>
      <c r="G91" s="152">
        <v>0</v>
      </c>
      <c r="H91" s="152">
        <v>0</v>
      </c>
      <c r="I91" s="152">
        <v>0</v>
      </c>
      <c r="J91" s="152">
        <v>0</v>
      </c>
      <c r="K91" s="152">
        <v>4400</v>
      </c>
      <c r="L91" s="152">
        <v>0</v>
      </c>
      <c r="M91" s="152">
        <v>0</v>
      </c>
      <c r="N91" s="152">
        <v>0</v>
      </c>
      <c r="O91" s="152">
        <v>0</v>
      </c>
      <c r="P91" s="152">
        <v>4400</v>
      </c>
      <c r="Q91" s="152">
        <v>0</v>
      </c>
      <c r="R91" s="152">
        <v>0</v>
      </c>
      <c r="S91" s="152">
        <v>0</v>
      </c>
      <c r="T91" s="152">
        <f>2189+1991</f>
        <v>4180</v>
      </c>
      <c r="U91" s="118"/>
      <c r="V91" s="19"/>
      <c r="W91" s="112" t="s">
        <v>124</v>
      </c>
      <c r="X91" s="147">
        <v>2</v>
      </c>
      <c r="Y91" s="151">
        <v>1</v>
      </c>
      <c r="Z91" s="148" t="s">
        <v>385</v>
      </c>
      <c r="AA91" s="149"/>
      <c r="AB91" s="162">
        <f t="shared" si="4"/>
        <v>0</v>
      </c>
      <c r="AC91" s="165"/>
      <c r="AD91" s="24"/>
      <c r="AM91" s="142" t="s">
        <v>375</v>
      </c>
    </row>
    <row r="92" spans="1:39" ht="408.75" customHeight="1" x14ac:dyDescent="0.65">
      <c r="A92" s="112" t="s">
        <v>272</v>
      </c>
      <c r="B92" s="149" t="s">
        <v>318</v>
      </c>
      <c r="C92" s="149" t="s">
        <v>29</v>
      </c>
      <c r="D92" s="152">
        <v>0</v>
      </c>
      <c r="E92" s="131">
        <v>20000</v>
      </c>
      <c r="F92" s="152">
        <v>0</v>
      </c>
      <c r="G92" s="152">
        <v>0</v>
      </c>
      <c r="H92" s="152">
        <v>0</v>
      </c>
      <c r="I92" s="152">
        <v>0</v>
      </c>
      <c r="J92" s="152">
        <v>0</v>
      </c>
      <c r="K92" s="152">
        <v>20000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18" t="s">
        <v>463</v>
      </c>
      <c r="V92" s="19"/>
      <c r="W92" s="112"/>
      <c r="X92" s="147" t="s">
        <v>322</v>
      </c>
      <c r="Y92" s="151">
        <v>0</v>
      </c>
      <c r="Z92" s="148" t="s">
        <v>327</v>
      </c>
      <c r="AA92" s="149" t="s">
        <v>342</v>
      </c>
      <c r="AB92" s="162">
        <f t="shared" si="4"/>
        <v>-20000</v>
      </c>
      <c r="AC92" s="165"/>
      <c r="AD92" s="24"/>
      <c r="AM92" s="142" t="s">
        <v>374</v>
      </c>
    </row>
    <row r="93" spans="1:39" ht="391.5" customHeight="1" x14ac:dyDescent="0.65">
      <c r="A93" s="112" t="s">
        <v>56</v>
      </c>
      <c r="B93" s="149" t="s">
        <v>317</v>
      </c>
      <c r="C93" s="149" t="s">
        <v>29</v>
      </c>
      <c r="D93" s="152">
        <v>0</v>
      </c>
      <c r="E93" s="131">
        <v>13033.4</v>
      </c>
      <c r="F93" s="152">
        <v>0</v>
      </c>
      <c r="G93" s="152">
        <v>0</v>
      </c>
      <c r="H93" s="152">
        <v>0</v>
      </c>
      <c r="I93" s="152">
        <v>0</v>
      </c>
      <c r="J93" s="152">
        <v>0</v>
      </c>
      <c r="K93" s="152">
        <v>13033.4</v>
      </c>
      <c r="L93" s="152">
        <v>0</v>
      </c>
      <c r="M93" s="152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18" t="s">
        <v>425</v>
      </c>
      <c r="V93" s="19"/>
      <c r="W93" s="112" t="s">
        <v>33</v>
      </c>
      <c r="X93" s="147">
        <v>724</v>
      </c>
      <c r="Y93" s="151">
        <v>0</v>
      </c>
      <c r="Z93" s="148" t="s">
        <v>327</v>
      </c>
      <c r="AA93" s="149" t="s">
        <v>342</v>
      </c>
      <c r="AB93" s="162">
        <f t="shared" si="4"/>
        <v>-13033.4</v>
      </c>
      <c r="AC93" s="165"/>
      <c r="AD93" s="24"/>
      <c r="AM93" s="142" t="s">
        <v>375</v>
      </c>
    </row>
    <row r="94" spans="1:39" ht="160.5" customHeight="1" x14ac:dyDescent="0.65">
      <c r="A94" s="154" t="s">
        <v>125</v>
      </c>
      <c r="B94" s="11" t="s">
        <v>126</v>
      </c>
      <c r="C94" s="11"/>
      <c r="D94" s="130">
        <f>D95+D99+D108+D110+D111+D119+D113+D115+D116+D121+D122+D124+D125+D128+D130+D132+D134+D136+D139+D141+D143+D145+D126+D120</f>
        <v>13335425.5</v>
      </c>
      <c r="E94" s="130">
        <f>E95+E99+E108+E110+E111+E116+E121+E122+E124+E126+E127+E128+E130+E132+E134+E136+E139+E141+E145+E120</f>
        <v>16150208.800000001</v>
      </c>
      <c r="F94" s="130">
        <f>F95+F99+F108+F110+F111+F119+F113+F115+F116+F121+F122+F124+F125+F128+F130+F132+F134+F136+F139+F141+F143+F145</f>
        <v>0</v>
      </c>
      <c r="G94" s="130">
        <f>G95+G99+G108+G110+G111+G119+G113+G115+G116+G121+G122+G124+G125+G128+G130+G132+G134+G136+G139+G141+G143+G145</f>
        <v>0</v>
      </c>
      <c r="H94" s="130">
        <f>H95+H99+H108+H110+H111+H119+H113+H115+H116+H121+H122+H124+H125+H128+H130+H132+H134+H136+H139+H141+H143+H145</f>
        <v>0</v>
      </c>
      <c r="I94" s="130">
        <f>I95+I99+I108+I110+I111+I119+I113+I115+I116+I121+I122+I124+I125+I128+I130+I132+I134+I136+I139+I141+I143+I145+I120</f>
        <v>13747900.299999999</v>
      </c>
      <c r="J94" s="130">
        <f>J95+J99+J108+J110+J111+J119+J113+J115+J116+J121+J122+J124+J125+J128+J130+J132+J134+J136+J139+J141+J143+J145</f>
        <v>0</v>
      </c>
      <c r="K94" s="130">
        <f>K95+K99+K108+K110+K111+K116+K121+K122+K124+K126+K127+K128+K130+K132+K134+K136+K139+K141+K145+K120+K115</f>
        <v>16150787.600000001</v>
      </c>
      <c r="L94" s="130">
        <f>L95+L99+L108+L110+L111+L119+L113+L115+L116+L121+L122+L124+L125+L128+L130+L132+L134+L136+L139+L141+L143+L145+L126</f>
        <v>0</v>
      </c>
      <c r="M94" s="130">
        <f>M95+M99+M108+M110+M111+M119+M113+M115+M116+M121+M122+M124+M125+M128+M130+M132+M134+M136+M139+M141+M143+M145+M126</f>
        <v>0</v>
      </c>
      <c r="N94" s="130">
        <f>N113+N115+N119+N143+N125+N120</f>
        <v>4134235.8</v>
      </c>
      <c r="O94" s="130">
        <f>O95+O99+O108+O110+O111+O119+O113+O115+O116+O121+O122+O124+O125+O128+O130+O132+O134+O136+O139+O141+O143+O145+O126</f>
        <v>0</v>
      </c>
      <c r="P94" s="130">
        <f>P95+P99+P108+P110+P111+P119+P113+P115+P116+P121+P122+P124+P125+P128+P130+P132+P134+P136+P139+P141+P143+P145+P126+P127+P120</f>
        <v>6980672.3000000007</v>
      </c>
      <c r="Q94" s="130">
        <f>Q95+Q99+Q108+Q110+Q111+Q119+Q113+Q115+Q116+Q121+Q122+Q124+Q125+Q128+Q130+Q132+Q134+Q136+Q139+Q141+Q143+Q145+Q126</f>
        <v>0</v>
      </c>
      <c r="R94" s="130">
        <f>R95+R99+R108+R110+R111+R119+R113+R115+R116+R121+R122+R124+R125+R128+R130+R132+R134+R136+R139+R141+R143+R145+R126</f>
        <v>0</v>
      </c>
      <c r="S94" s="130">
        <f>S95+S99+S108+S110+S111+S119+S113+S115+S116+S121+S122+S124+S125+S128+S130+S132+S134+S136+S139+S141+S143+S145+S126</f>
        <v>0</v>
      </c>
      <c r="T94" s="130">
        <f>T95+T99+T108+T110+T111+T119+T113+T115+T116+T121+T122+T124+T125+T128+T130+T132+T134+T136+T139+T141+T143+T145+T126</f>
        <v>504399.99</v>
      </c>
      <c r="U94" s="10" t="s">
        <v>25</v>
      </c>
      <c r="V94" s="10" t="s">
        <v>25</v>
      </c>
      <c r="W94" s="10" t="s">
        <v>25</v>
      </c>
      <c r="X94" s="10" t="s">
        <v>25</v>
      </c>
      <c r="Y94" s="10"/>
      <c r="Z94" s="10" t="s">
        <v>25</v>
      </c>
      <c r="AA94" s="25"/>
      <c r="AB94" s="162">
        <f t="shared" si="4"/>
        <v>-9170115.3000000007</v>
      </c>
      <c r="AC94" s="163">
        <f>(N94+P94)/(I94+K94)*100</f>
        <v>37.175237044432315</v>
      </c>
      <c r="AD94" s="2"/>
      <c r="AG94" s="14">
        <f>N94/I94*100</f>
        <v>30.071761576565986</v>
      </c>
      <c r="AH94" s="14">
        <f>P94/K94*100</f>
        <v>43.221869254227578</v>
      </c>
      <c r="AM94" s="143"/>
    </row>
    <row r="95" spans="1:39" ht="321" customHeight="1" x14ac:dyDescent="0.65">
      <c r="A95" s="116" t="s">
        <v>35</v>
      </c>
      <c r="B95" s="149" t="s">
        <v>127</v>
      </c>
      <c r="C95" s="149" t="s">
        <v>29</v>
      </c>
      <c r="D95" s="152">
        <v>0</v>
      </c>
      <c r="E95" s="152">
        <f>E96</f>
        <v>2502473.2000000002</v>
      </c>
      <c r="F95" s="152">
        <v>0</v>
      </c>
      <c r="G95" s="152">
        <v>0</v>
      </c>
      <c r="H95" s="152">
        <v>0</v>
      </c>
      <c r="I95" s="152"/>
      <c r="J95" s="152">
        <v>0</v>
      </c>
      <c r="K95" s="152">
        <v>2503052</v>
      </c>
      <c r="L95" s="152">
        <v>0</v>
      </c>
      <c r="M95" s="152">
        <v>0</v>
      </c>
      <c r="N95" s="152">
        <v>0</v>
      </c>
      <c r="O95" s="152">
        <v>0</v>
      </c>
      <c r="P95" s="152">
        <f>P96</f>
        <v>1062124.5</v>
      </c>
      <c r="Q95" s="152">
        <v>0</v>
      </c>
      <c r="R95" s="152">
        <v>0</v>
      </c>
      <c r="S95" s="152"/>
      <c r="T95" s="152">
        <f>T96</f>
        <v>233333.8</v>
      </c>
      <c r="U95" s="19" t="s">
        <v>25</v>
      </c>
      <c r="V95" s="19" t="s">
        <v>25</v>
      </c>
      <c r="W95" s="19" t="s">
        <v>25</v>
      </c>
      <c r="X95" s="151" t="s">
        <v>25</v>
      </c>
      <c r="Y95" s="151"/>
      <c r="Z95" s="151" t="s">
        <v>25</v>
      </c>
      <c r="AA95" s="12"/>
      <c r="AB95" s="162">
        <f t="shared" si="4"/>
        <v>-1440927.5</v>
      </c>
      <c r="AC95" s="20"/>
      <c r="AD95" s="2"/>
    </row>
    <row r="96" spans="1:39" ht="400.5" customHeight="1" x14ac:dyDescent="0.65">
      <c r="A96" s="185" t="s">
        <v>95</v>
      </c>
      <c r="B96" s="182" t="s">
        <v>100</v>
      </c>
      <c r="C96" s="182" t="s">
        <v>29</v>
      </c>
      <c r="D96" s="183">
        <v>0</v>
      </c>
      <c r="E96" s="183">
        <v>2502473.2000000002</v>
      </c>
      <c r="F96" s="183">
        <v>0</v>
      </c>
      <c r="G96" s="183">
        <v>0</v>
      </c>
      <c r="H96" s="183">
        <v>0</v>
      </c>
      <c r="I96" s="183">
        <v>0</v>
      </c>
      <c r="J96" s="183">
        <v>0</v>
      </c>
      <c r="K96" s="183">
        <v>2503052</v>
      </c>
      <c r="L96" s="183">
        <v>0</v>
      </c>
      <c r="M96" s="183">
        <v>0</v>
      </c>
      <c r="N96" s="183"/>
      <c r="O96" s="183">
        <v>0</v>
      </c>
      <c r="P96" s="183">
        <v>1062124.5</v>
      </c>
      <c r="Q96" s="183">
        <v>0</v>
      </c>
      <c r="R96" s="183">
        <v>0</v>
      </c>
      <c r="S96" s="183">
        <v>0</v>
      </c>
      <c r="T96" s="183">
        <v>233333.8</v>
      </c>
      <c r="U96" s="182" t="s">
        <v>426</v>
      </c>
      <c r="V96" s="181"/>
      <c r="W96" s="181" t="s">
        <v>33</v>
      </c>
      <c r="X96" s="186">
        <v>42531</v>
      </c>
      <c r="Y96" s="186">
        <f>1067+5169+2174+10158+437</f>
        <v>19005</v>
      </c>
      <c r="Z96" s="180" t="s">
        <v>327</v>
      </c>
      <c r="AA96" s="182" t="s">
        <v>342</v>
      </c>
      <c r="AB96" s="162">
        <f t="shared" si="4"/>
        <v>-1440927.5</v>
      </c>
      <c r="AC96" s="20"/>
      <c r="AD96" s="2"/>
      <c r="AM96" s="142" t="s">
        <v>376</v>
      </c>
    </row>
    <row r="97" spans="1:39" ht="409.5" hidden="1" customHeight="1" x14ac:dyDescent="0.65">
      <c r="A97" s="185"/>
      <c r="B97" s="182"/>
      <c r="C97" s="182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2"/>
      <c r="V97" s="181"/>
      <c r="W97" s="181"/>
      <c r="X97" s="186"/>
      <c r="Y97" s="186"/>
      <c r="Z97" s="180"/>
      <c r="AA97" s="182"/>
      <c r="AB97" s="162">
        <f t="shared" si="4"/>
        <v>0</v>
      </c>
      <c r="AC97" s="20"/>
      <c r="AD97" s="2"/>
    </row>
    <row r="98" spans="1:39" ht="386.25" hidden="1" customHeight="1" x14ac:dyDescent="0.65">
      <c r="A98" s="185"/>
      <c r="B98" s="182"/>
      <c r="C98" s="182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2"/>
      <c r="V98" s="181"/>
      <c r="W98" s="181"/>
      <c r="X98" s="186"/>
      <c r="Y98" s="186"/>
      <c r="Z98" s="180"/>
      <c r="AA98" s="182"/>
      <c r="AB98" s="162">
        <f t="shared" si="4"/>
        <v>0</v>
      </c>
      <c r="AC98" s="20"/>
      <c r="AD98" s="2"/>
    </row>
    <row r="99" spans="1:39" ht="409.5" customHeight="1" x14ac:dyDescent="0.65">
      <c r="A99" s="185" t="s">
        <v>37</v>
      </c>
      <c r="B99" s="182" t="s">
        <v>280</v>
      </c>
      <c r="C99" s="182" t="s">
        <v>29</v>
      </c>
      <c r="D99" s="183">
        <v>0</v>
      </c>
      <c r="E99" s="189">
        <f>E101+E103</f>
        <v>560361.30000000005</v>
      </c>
      <c r="F99" s="189">
        <v>0</v>
      </c>
      <c r="G99" s="183">
        <v>0</v>
      </c>
      <c r="H99" s="183">
        <v>0</v>
      </c>
      <c r="I99" s="183">
        <v>0</v>
      </c>
      <c r="J99" s="183">
        <v>0</v>
      </c>
      <c r="K99" s="183">
        <v>560361.30000000005</v>
      </c>
      <c r="L99" s="183">
        <v>0</v>
      </c>
      <c r="M99" s="183">
        <v>0</v>
      </c>
      <c r="N99" s="183">
        <v>0</v>
      </c>
      <c r="O99" s="183">
        <v>0</v>
      </c>
      <c r="P99" s="183">
        <f>P101+P103</f>
        <v>142079.29999999999</v>
      </c>
      <c r="Q99" s="183">
        <v>0</v>
      </c>
      <c r="R99" s="183">
        <v>0</v>
      </c>
      <c r="S99" s="183">
        <v>0</v>
      </c>
      <c r="T99" s="183">
        <f>T101+T103</f>
        <v>32622.199999999997</v>
      </c>
      <c r="U99" s="181"/>
      <c r="V99" s="181" t="s">
        <v>25</v>
      </c>
      <c r="W99" s="181" t="s">
        <v>25</v>
      </c>
      <c r="X99" s="181" t="s">
        <v>25</v>
      </c>
      <c r="Y99" s="181"/>
      <c r="Z99" s="181" t="s">
        <v>25</v>
      </c>
      <c r="AA99" s="12"/>
      <c r="AB99" s="162">
        <f t="shared" si="4"/>
        <v>-418282.00000000006</v>
      </c>
      <c r="AC99" s="20"/>
      <c r="AD99" s="2"/>
    </row>
    <row r="100" spans="1:39" ht="216" customHeight="1" x14ac:dyDescent="0.65">
      <c r="A100" s="185"/>
      <c r="B100" s="182"/>
      <c r="C100" s="182"/>
      <c r="D100" s="183"/>
      <c r="E100" s="189"/>
      <c r="F100" s="189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1"/>
      <c r="V100" s="181"/>
      <c r="W100" s="181"/>
      <c r="X100" s="181"/>
      <c r="Y100" s="181"/>
      <c r="Z100" s="181"/>
      <c r="AA100" s="12"/>
      <c r="AB100" s="162"/>
      <c r="AC100" s="20"/>
      <c r="AD100" s="2"/>
    </row>
    <row r="101" spans="1:39" ht="389.25" customHeight="1" x14ac:dyDescent="0.65">
      <c r="A101" s="185" t="s">
        <v>128</v>
      </c>
      <c r="B101" s="182" t="s">
        <v>100</v>
      </c>
      <c r="C101" s="182" t="s">
        <v>29</v>
      </c>
      <c r="D101" s="183">
        <v>0</v>
      </c>
      <c r="E101" s="189">
        <v>306228.59999999998</v>
      </c>
      <c r="F101" s="189">
        <v>0</v>
      </c>
      <c r="G101" s="183">
        <v>0</v>
      </c>
      <c r="H101" s="183">
        <v>0</v>
      </c>
      <c r="I101" s="183">
        <v>0</v>
      </c>
      <c r="J101" s="183">
        <v>0</v>
      </c>
      <c r="K101" s="183">
        <v>306228.59999999998</v>
      </c>
      <c r="L101" s="183">
        <v>0</v>
      </c>
      <c r="M101" s="183">
        <v>0</v>
      </c>
      <c r="N101" s="183">
        <v>0</v>
      </c>
      <c r="O101" s="183">
        <v>0</v>
      </c>
      <c r="P101" s="183">
        <v>38194.800000000003</v>
      </c>
      <c r="Q101" s="183">
        <v>0</v>
      </c>
      <c r="R101" s="183">
        <v>0</v>
      </c>
      <c r="S101" s="183">
        <v>0</v>
      </c>
      <c r="T101" s="183">
        <v>11454.3</v>
      </c>
      <c r="U101" s="182" t="s">
        <v>427</v>
      </c>
      <c r="V101" s="181"/>
      <c r="W101" s="181" t="s">
        <v>33</v>
      </c>
      <c r="X101" s="181">
        <v>100</v>
      </c>
      <c r="Y101" s="181">
        <v>89</v>
      </c>
      <c r="Z101" s="180" t="s">
        <v>327</v>
      </c>
      <c r="AA101" s="182" t="s">
        <v>342</v>
      </c>
      <c r="AB101" s="162">
        <f t="shared" si="4"/>
        <v>-268033.8</v>
      </c>
      <c r="AC101" s="20"/>
      <c r="AD101" s="2"/>
      <c r="AM101" s="142" t="s">
        <v>376</v>
      </c>
    </row>
    <row r="102" spans="1:39" ht="227.25" hidden="1" customHeight="1" x14ac:dyDescent="0.65">
      <c r="A102" s="185"/>
      <c r="B102" s="182"/>
      <c r="C102" s="182"/>
      <c r="D102" s="183"/>
      <c r="E102" s="189"/>
      <c r="F102" s="189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2"/>
      <c r="V102" s="181"/>
      <c r="W102" s="181"/>
      <c r="X102" s="181"/>
      <c r="Y102" s="181"/>
      <c r="Z102" s="180"/>
      <c r="AA102" s="182"/>
      <c r="AB102" s="162">
        <f t="shared" si="4"/>
        <v>0</v>
      </c>
      <c r="AC102" s="20"/>
      <c r="AD102" s="2"/>
    </row>
    <row r="103" spans="1:39" ht="211.5" x14ac:dyDescent="0.65">
      <c r="A103" s="154" t="s">
        <v>129</v>
      </c>
      <c r="B103" s="149" t="s">
        <v>130</v>
      </c>
      <c r="C103" s="149" t="s">
        <v>29</v>
      </c>
      <c r="D103" s="152">
        <v>0</v>
      </c>
      <c r="E103" s="131">
        <f>E104+E105+E106</f>
        <v>254132.7</v>
      </c>
      <c r="F103" s="131">
        <v>0</v>
      </c>
      <c r="G103" s="152">
        <v>0</v>
      </c>
      <c r="H103" s="152">
        <v>0</v>
      </c>
      <c r="I103" s="152">
        <v>0</v>
      </c>
      <c r="J103" s="152">
        <v>0</v>
      </c>
      <c r="K103" s="152">
        <v>254132.7</v>
      </c>
      <c r="L103" s="152">
        <v>0</v>
      </c>
      <c r="M103" s="152">
        <v>0</v>
      </c>
      <c r="N103" s="152">
        <v>0</v>
      </c>
      <c r="O103" s="152">
        <v>0</v>
      </c>
      <c r="P103" s="152">
        <f>P104+P105+P106</f>
        <v>103884.5</v>
      </c>
      <c r="Q103" s="152">
        <v>0</v>
      </c>
      <c r="R103" s="152">
        <v>0</v>
      </c>
      <c r="S103" s="152">
        <v>0</v>
      </c>
      <c r="T103" s="152">
        <f>T104+T105+T106</f>
        <v>21167.899999999998</v>
      </c>
      <c r="U103" s="151"/>
      <c r="V103" s="151" t="s">
        <v>25</v>
      </c>
      <c r="W103" s="151" t="s">
        <v>25</v>
      </c>
      <c r="X103" s="151" t="s">
        <v>25</v>
      </c>
      <c r="Y103" s="151"/>
      <c r="Z103" s="151" t="s">
        <v>25</v>
      </c>
      <c r="AA103" s="149"/>
      <c r="AB103" s="162">
        <f t="shared" si="4"/>
        <v>-150248.20000000001</v>
      </c>
      <c r="AC103" s="20"/>
      <c r="AD103" s="2"/>
    </row>
    <row r="104" spans="1:39" ht="382.5" customHeight="1" x14ac:dyDescent="0.65">
      <c r="A104" s="154" t="s">
        <v>131</v>
      </c>
      <c r="B104" s="149" t="s">
        <v>105</v>
      </c>
      <c r="C104" s="149" t="s">
        <v>29</v>
      </c>
      <c r="D104" s="152">
        <v>0</v>
      </c>
      <c r="E104" s="131">
        <v>195030.6</v>
      </c>
      <c r="F104" s="131">
        <v>0</v>
      </c>
      <c r="G104" s="152">
        <v>0</v>
      </c>
      <c r="H104" s="152">
        <v>0</v>
      </c>
      <c r="I104" s="152">
        <v>0</v>
      </c>
      <c r="J104" s="152">
        <v>0</v>
      </c>
      <c r="K104" s="152">
        <v>195030.6</v>
      </c>
      <c r="L104" s="152">
        <v>0</v>
      </c>
      <c r="M104" s="152">
        <v>0</v>
      </c>
      <c r="N104" s="152">
        <v>0</v>
      </c>
      <c r="O104" s="152">
        <v>0</v>
      </c>
      <c r="P104" s="152">
        <v>87886</v>
      </c>
      <c r="Q104" s="152">
        <v>0</v>
      </c>
      <c r="R104" s="152">
        <v>0</v>
      </c>
      <c r="S104" s="152">
        <v>0</v>
      </c>
      <c r="T104" s="152">
        <v>10471.5</v>
      </c>
      <c r="U104" s="149" t="s">
        <v>428</v>
      </c>
      <c r="V104" s="151"/>
      <c r="W104" s="151" t="s">
        <v>33</v>
      </c>
      <c r="X104" s="114">
        <v>2091</v>
      </c>
      <c r="Y104" s="114">
        <f>261+210</f>
        <v>471</v>
      </c>
      <c r="Z104" s="148" t="s">
        <v>327</v>
      </c>
      <c r="AA104" s="149" t="s">
        <v>342</v>
      </c>
      <c r="AB104" s="162">
        <f t="shared" si="4"/>
        <v>-107144.6</v>
      </c>
      <c r="AC104" s="166"/>
      <c r="AD104" s="26"/>
    </row>
    <row r="105" spans="1:39" ht="387.75" x14ac:dyDescent="0.65">
      <c r="A105" s="154" t="s">
        <v>132</v>
      </c>
      <c r="B105" s="149" t="s">
        <v>107</v>
      </c>
      <c r="C105" s="149" t="s">
        <v>29</v>
      </c>
      <c r="D105" s="152">
        <v>0</v>
      </c>
      <c r="E105" s="131">
        <v>57800</v>
      </c>
      <c r="F105" s="131">
        <v>0</v>
      </c>
      <c r="G105" s="152">
        <v>0</v>
      </c>
      <c r="H105" s="152">
        <v>0</v>
      </c>
      <c r="I105" s="152">
        <v>0</v>
      </c>
      <c r="J105" s="152">
        <v>0</v>
      </c>
      <c r="K105" s="152">
        <v>57800</v>
      </c>
      <c r="L105" s="152">
        <v>0</v>
      </c>
      <c r="M105" s="152">
        <v>0</v>
      </c>
      <c r="N105" s="152">
        <v>0</v>
      </c>
      <c r="O105" s="152">
        <v>0</v>
      </c>
      <c r="P105" s="152">
        <v>15230</v>
      </c>
      <c r="Q105" s="152">
        <v>0</v>
      </c>
      <c r="R105" s="152">
        <v>0</v>
      </c>
      <c r="S105" s="152">
        <v>0</v>
      </c>
      <c r="T105" s="152">
        <v>10363.299999999999</v>
      </c>
      <c r="U105" s="149" t="s">
        <v>429</v>
      </c>
      <c r="V105" s="151"/>
      <c r="W105" s="148" t="s">
        <v>101</v>
      </c>
      <c r="X105" s="151">
        <v>2</v>
      </c>
      <c r="Y105" s="151">
        <v>0</v>
      </c>
      <c r="Z105" s="148" t="s">
        <v>456</v>
      </c>
      <c r="AA105" s="149" t="s">
        <v>342</v>
      </c>
      <c r="AB105" s="162">
        <f t="shared" si="4"/>
        <v>-42570</v>
      </c>
      <c r="AC105" s="166"/>
      <c r="AD105" s="26"/>
    </row>
    <row r="106" spans="1:39" ht="408.75" customHeight="1" x14ac:dyDescent="0.65">
      <c r="A106" s="185" t="s">
        <v>133</v>
      </c>
      <c r="B106" s="182" t="s">
        <v>534</v>
      </c>
      <c r="C106" s="182" t="s">
        <v>29</v>
      </c>
      <c r="D106" s="183">
        <v>0</v>
      </c>
      <c r="E106" s="189">
        <v>1302.0999999999999</v>
      </c>
      <c r="F106" s="189">
        <v>0</v>
      </c>
      <c r="G106" s="183">
        <v>0</v>
      </c>
      <c r="H106" s="183">
        <v>0</v>
      </c>
      <c r="I106" s="183">
        <v>0</v>
      </c>
      <c r="J106" s="183">
        <v>0</v>
      </c>
      <c r="K106" s="183">
        <v>1302.0999999999999</v>
      </c>
      <c r="L106" s="183">
        <v>0</v>
      </c>
      <c r="M106" s="183">
        <v>0</v>
      </c>
      <c r="N106" s="183">
        <v>0</v>
      </c>
      <c r="O106" s="183">
        <v>0</v>
      </c>
      <c r="P106" s="183">
        <v>768.5</v>
      </c>
      <c r="Q106" s="183">
        <v>0</v>
      </c>
      <c r="R106" s="183">
        <v>0</v>
      </c>
      <c r="S106" s="183">
        <v>0</v>
      </c>
      <c r="T106" s="183">
        <v>333.1</v>
      </c>
      <c r="U106" s="115" t="s">
        <v>362</v>
      </c>
      <c r="V106" s="19"/>
      <c r="W106" s="19" t="s">
        <v>33</v>
      </c>
      <c r="X106" s="151">
        <v>163</v>
      </c>
      <c r="Y106" s="151">
        <v>186</v>
      </c>
      <c r="Z106" s="148" t="s">
        <v>34</v>
      </c>
      <c r="AA106" s="12"/>
      <c r="AB106" s="162">
        <f t="shared" si="4"/>
        <v>-533.59999999999991</v>
      </c>
      <c r="AC106" s="20"/>
      <c r="AD106" s="2"/>
    </row>
    <row r="107" spans="1:39" ht="206.25" customHeight="1" x14ac:dyDescent="0.65">
      <c r="A107" s="185"/>
      <c r="B107" s="182"/>
      <c r="C107" s="182"/>
      <c r="D107" s="183"/>
      <c r="E107" s="189"/>
      <c r="F107" s="189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17"/>
      <c r="V107" s="19"/>
      <c r="W107" s="19"/>
      <c r="X107" s="151"/>
      <c r="Y107" s="151"/>
      <c r="Z107" s="148"/>
      <c r="AA107" s="12"/>
      <c r="AB107" s="162"/>
      <c r="AC107" s="20"/>
      <c r="AD107" s="2"/>
    </row>
    <row r="108" spans="1:39" ht="408.75" customHeight="1" x14ac:dyDescent="0.65">
      <c r="A108" s="185" t="s">
        <v>97</v>
      </c>
      <c r="B108" s="182" t="s">
        <v>535</v>
      </c>
      <c r="C108" s="182" t="s">
        <v>29</v>
      </c>
      <c r="D108" s="183">
        <v>0</v>
      </c>
      <c r="E108" s="183">
        <v>351853.1</v>
      </c>
      <c r="F108" s="183">
        <v>0</v>
      </c>
      <c r="G108" s="183">
        <v>0</v>
      </c>
      <c r="H108" s="183">
        <v>0</v>
      </c>
      <c r="I108" s="183">
        <v>0</v>
      </c>
      <c r="J108" s="183">
        <v>0</v>
      </c>
      <c r="K108" s="183">
        <v>351853.1</v>
      </c>
      <c r="L108" s="183">
        <v>0</v>
      </c>
      <c r="M108" s="183">
        <v>0</v>
      </c>
      <c r="N108" s="183">
        <v>0</v>
      </c>
      <c r="O108" s="183">
        <v>0</v>
      </c>
      <c r="P108" s="183">
        <v>181853.1</v>
      </c>
      <c r="Q108" s="183">
        <v>0</v>
      </c>
      <c r="R108" s="183">
        <v>0</v>
      </c>
      <c r="S108" s="183">
        <v>0</v>
      </c>
      <c r="T108" s="183">
        <v>203719.4</v>
      </c>
      <c r="U108" s="182" t="s">
        <v>430</v>
      </c>
      <c r="V108" s="181"/>
      <c r="W108" s="181" t="s">
        <v>33</v>
      </c>
      <c r="X108" s="186">
        <v>6260</v>
      </c>
      <c r="Y108" s="186">
        <v>4723</v>
      </c>
      <c r="Z108" s="180" t="s">
        <v>327</v>
      </c>
      <c r="AA108" s="149" t="s">
        <v>344</v>
      </c>
      <c r="AB108" s="162">
        <f t="shared" si="4"/>
        <v>-169999.99999999997</v>
      </c>
      <c r="AC108" s="20"/>
      <c r="AD108" s="2"/>
      <c r="AM108" s="142" t="s">
        <v>377</v>
      </c>
    </row>
    <row r="109" spans="1:39" ht="378.75" customHeight="1" x14ac:dyDescent="0.65">
      <c r="A109" s="185"/>
      <c r="B109" s="182"/>
      <c r="C109" s="182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2"/>
      <c r="V109" s="181"/>
      <c r="W109" s="181"/>
      <c r="X109" s="186"/>
      <c r="Y109" s="186"/>
      <c r="Z109" s="180"/>
      <c r="AA109" s="149"/>
      <c r="AB109" s="162"/>
      <c r="AC109" s="20"/>
      <c r="AD109" s="2"/>
    </row>
    <row r="110" spans="1:39" ht="387.75" x14ac:dyDescent="0.65">
      <c r="A110" s="154" t="s">
        <v>39</v>
      </c>
      <c r="B110" s="149" t="s">
        <v>134</v>
      </c>
      <c r="C110" s="149" t="s">
        <v>29</v>
      </c>
      <c r="D110" s="152">
        <v>0</v>
      </c>
      <c r="E110" s="131">
        <v>1015882.6</v>
      </c>
      <c r="F110" s="131">
        <v>0</v>
      </c>
      <c r="G110" s="152">
        <v>0</v>
      </c>
      <c r="H110" s="152">
        <v>0</v>
      </c>
      <c r="I110" s="152">
        <v>0</v>
      </c>
      <c r="J110" s="152">
        <v>0</v>
      </c>
      <c r="K110" s="152">
        <v>1015882.6</v>
      </c>
      <c r="L110" s="152">
        <v>0</v>
      </c>
      <c r="M110" s="152">
        <v>0</v>
      </c>
      <c r="N110" s="152">
        <v>0</v>
      </c>
      <c r="O110" s="152">
        <v>0</v>
      </c>
      <c r="P110" s="152">
        <v>501250.9</v>
      </c>
      <c r="Q110" s="152">
        <v>0</v>
      </c>
      <c r="R110" s="152">
        <v>0</v>
      </c>
      <c r="S110" s="152">
        <v>0</v>
      </c>
      <c r="T110" s="152">
        <v>44.49</v>
      </c>
      <c r="U110" s="149" t="s">
        <v>431</v>
      </c>
      <c r="V110" s="151"/>
      <c r="W110" s="151" t="s">
        <v>33</v>
      </c>
      <c r="X110" s="114">
        <v>414671</v>
      </c>
      <c r="Y110" s="147">
        <v>351671</v>
      </c>
      <c r="Z110" s="148" t="s">
        <v>327</v>
      </c>
      <c r="AA110" s="149" t="s">
        <v>344</v>
      </c>
      <c r="AB110" s="162">
        <f t="shared" si="4"/>
        <v>-514631.69999999995</v>
      </c>
      <c r="AC110" s="20"/>
      <c r="AD110" s="2"/>
      <c r="AG110" s="13">
        <f>P110/K110*100</f>
        <v>49.341419963291038</v>
      </c>
      <c r="AM110" s="142" t="s">
        <v>377</v>
      </c>
    </row>
    <row r="111" spans="1:39" ht="408.75" customHeight="1" x14ac:dyDescent="0.65">
      <c r="A111" s="185" t="s">
        <v>41</v>
      </c>
      <c r="B111" s="182" t="s">
        <v>541</v>
      </c>
      <c r="C111" s="182" t="s">
        <v>29</v>
      </c>
      <c r="D111" s="183">
        <v>0</v>
      </c>
      <c r="E111" s="183">
        <v>274058.09999999998</v>
      </c>
      <c r="F111" s="183">
        <v>0</v>
      </c>
      <c r="G111" s="183">
        <v>0</v>
      </c>
      <c r="H111" s="183">
        <v>0</v>
      </c>
      <c r="I111" s="183">
        <v>0</v>
      </c>
      <c r="J111" s="183">
        <v>0</v>
      </c>
      <c r="K111" s="183">
        <v>274058.09999999998</v>
      </c>
      <c r="L111" s="183">
        <v>0</v>
      </c>
      <c r="M111" s="183">
        <v>0</v>
      </c>
      <c r="N111" s="183">
        <v>0</v>
      </c>
      <c r="O111" s="183">
        <v>0</v>
      </c>
      <c r="P111" s="183">
        <v>66963.8</v>
      </c>
      <c r="Q111" s="183">
        <v>0</v>
      </c>
      <c r="R111" s="183">
        <v>0</v>
      </c>
      <c r="S111" s="183">
        <v>0</v>
      </c>
      <c r="T111" s="183">
        <v>930.3</v>
      </c>
      <c r="U111" s="187" t="s">
        <v>432</v>
      </c>
      <c r="V111" s="181"/>
      <c r="W111" s="181" t="s">
        <v>33</v>
      </c>
      <c r="X111" s="186">
        <v>150000</v>
      </c>
      <c r="Y111" s="186">
        <v>73364</v>
      </c>
      <c r="Z111" s="180" t="s">
        <v>327</v>
      </c>
      <c r="AA111" s="149" t="s">
        <v>344</v>
      </c>
      <c r="AB111" s="162">
        <f t="shared" si="4"/>
        <v>-207094.3</v>
      </c>
      <c r="AC111" s="20"/>
      <c r="AD111" s="2"/>
      <c r="AG111" s="13">
        <f>P111/K111*100</f>
        <v>24.434161953250062</v>
      </c>
      <c r="AM111" s="142" t="s">
        <v>377</v>
      </c>
    </row>
    <row r="112" spans="1:39" ht="306" customHeight="1" x14ac:dyDescent="0.65">
      <c r="A112" s="185"/>
      <c r="B112" s="182"/>
      <c r="C112" s="182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7"/>
      <c r="V112" s="181"/>
      <c r="W112" s="181"/>
      <c r="X112" s="186"/>
      <c r="Y112" s="186"/>
      <c r="Z112" s="180"/>
      <c r="AA112" s="149"/>
      <c r="AB112" s="162"/>
      <c r="AC112" s="20"/>
      <c r="AD112" s="2"/>
      <c r="AG112" s="13"/>
    </row>
    <row r="113" spans="1:39" ht="408.75" customHeight="1" x14ac:dyDescent="0.65">
      <c r="A113" s="185" t="s">
        <v>45</v>
      </c>
      <c r="B113" s="182" t="s">
        <v>305</v>
      </c>
      <c r="C113" s="182" t="s">
        <v>29</v>
      </c>
      <c r="D113" s="183">
        <v>25328.3</v>
      </c>
      <c r="E113" s="183">
        <v>0</v>
      </c>
      <c r="F113" s="183">
        <v>0</v>
      </c>
      <c r="G113" s="183">
        <v>0</v>
      </c>
      <c r="H113" s="183">
        <v>0</v>
      </c>
      <c r="I113" s="183">
        <v>25328.3</v>
      </c>
      <c r="J113" s="183">
        <v>0</v>
      </c>
      <c r="K113" s="183">
        <v>0</v>
      </c>
      <c r="L113" s="183">
        <v>0</v>
      </c>
      <c r="M113" s="183">
        <v>0</v>
      </c>
      <c r="N113" s="183">
        <v>10665.6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182" t="s">
        <v>433</v>
      </c>
      <c r="V113" s="181"/>
      <c r="W113" s="180" t="s">
        <v>33</v>
      </c>
      <c r="X113" s="181">
        <v>216</v>
      </c>
      <c r="Y113" s="181">
        <v>153</v>
      </c>
      <c r="Z113" s="180" t="s">
        <v>327</v>
      </c>
      <c r="AA113" s="182" t="s">
        <v>344</v>
      </c>
      <c r="AB113" s="162">
        <f>N113-I113</f>
        <v>-14662.699999999999</v>
      </c>
      <c r="AC113" s="20"/>
      <c r="AD113" s="2"/>
      <c r="AM113" s="142" t="s">
        <v>377</v>
      </c>
    </row>
    <row r="114" spans="1:39" ht="7.5" customHeight="1" x14ac:dyDescent="0.65">
      <c r="A114" s="185"/>
      <c r="B114" s="182"/>
      <c r="C114" s="182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2"/>
      <c r="V114" s="181"/>
      <c r="W114" s="180"/>
      <c r="X114" s="181"/>
      <c r="Y114" s="181"/>
      <c r="Z114" s="180"/>
      <c r="AA114" s="182"/>
      <c r="AB114" s="162">
        <f t="shared" si="4"/>
        <v>0</v>
      </c>
      <c r="AC114" s="20"/>
      <c r="AD114" s="2"/>
    </row>
    <row r="115" spans="1:39" ht="408.75" customHeight="1" x14ac:dyDescent="0.65">
      <c r="A115" s="112" t="s">
        <v>135</v>
      </c>
      <c r="B115" s="149" t="s">
        <v>552</v>
      </c>
      <c r="C115" s="115" t="s">
        <v>29</v>
      </c>
      <c r="D115" s="131">
        <v>3362359.5</v>
      </c>
      <c r="E115" s="152">
        <v>0</v>
      </c>
      <c r="F115" s="152">
        <v>0</v>
      </c>
      <c r="G115" s="152">
        <v>0</v>
      </c>
      <c r="H115" s="152">
        <v>0</v>
      </c>
      <c r="I115" s="131">
        <f>3362359.5+412474.8</f>
        <v>3774834.3</v>
      </c>
      <c r="J115" s="152">
        <v>0</v>
      </c>
      <c r="K115" s="152"/>
      <c r="L115" s="152">
        <v>0</v>
      </c>
      <c r="M115" s="152">
        <v>0</v>
      </c>
      <c r="N115" s="152">
        <v>1525379.5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192.6</v>
      </c>
      <c r="U115" s="112" t="s">
        <v>434</v>
      </c>
      <c r="V115" s="19"/>
      <c r="W115" s="112" t="s">
        <v>33</v>
      </c>
      <c r="X115" s="114">
        <v>67915</v>
      </c>
      <c r="Y115" s="114">
        <v>55953</v>
      </c>
      <c r="Z115" s="148" t="s">
        <v>327</v>
      </c>
      <c r="AA115" s="149" t="s">
        <v>344</v>
      </c>
      <c r="AB115" s="162">
        <f>N115-I115</f>
        <v>-2249454.7999999998</v>
      </c>
      <c r="AC115" s="20"/>
      <c r="AD115" s="2"/>
      <c r="AM115" s="142" t="s">
        <v>377</v>
      </c>
    </row>
    <row r="116" spans="1:39" ht="408" customHeight="1" x14ac:dyDescent="0.65">
      <c r="A116" s="180" t="s">
        <v>136</v>
      </c>
      <c r="B116" s="182" t="s">
        <v>540</v>
      </c>
      <c r="C116" s="188" t="s">
        <v>29</v>
      </c>
      <c r="D116" s="189">
        <v>0</v>
      </c>
      <c r="E116" s="189">
        <v>3636601.4</v>
      </c>
      <c r="F116" s="189">
        <v>0</v>
      </c>
      <c r="G116" s="189">
        <v>0</v>
      </c>
      <c r="H116" s="189">
        <v>0</v>
      </c>
      <c r="I116" s="189">
        <v>0</v>
      </c>
      <c r="J116" s="189">
        <v>0</v>
      </c>
      <c r="K116" s="189">
        <v>3636601.4</v>
      </c>
      <c r="L116" s="189">
        <v>0</v>
      </c>
      <c r="M116" s="189">
        <v>0</v>
      </c>
      <c r="N116" s="189">
        <v>0</v>
      </c>
      <c r="O116" s="189">
        <v>0</v>
      </c>
      <c r="P116" s="189">
        <v>2028102.2</v>
      </c>
      <c r="Q116" s="189">
        <v>0</v>
      </c>
      <c r="R116" s="189">
        <v>0</v>
      </c>
      <c r="S116" s="189">
        <v>0</v>
      </c>
      <c r="T116" s="189">
        <v>23066.1</v>
      </c>
      <c r="U116" s="182" t="s">
        <v>435</v>
      </c>
      <c r="V116" s="180"/>
      <c r="W116" s="180" t="s">
        <v>33</v>
      </c>
      <c r="X116" s="200">
        <v>27732</v>
      </c>
      <c r="Y116" s="200">
        <v>29822</v>
      </c>
      <c r="Z116" s="200" t="s">
        <v>34</v>
      </c>
      <c r="AA116" s="149"/>
      <c r="AB116" s="162">
        <f t="shared" si="4"/>
        <v>-1608499.2</v>
      </c>
      <c r="AC116" s="20"/>
      <c r="AD116" s="2"/>
      <c r="AM116" s="142" t="s">
        <v>377</v>
      </c>
    </row>
    <row r="117" spans="1:39" ht="409.6" customHeight="1" x14ac:dyDescent="0.65">
      <c r="A117" s="180"/>
      <c r="B117" s="182"/>
      <c r="C117" s="188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2"/>
      <c r="V117" s="180"/>
      <c r="W117" s="180"/>
      <c r="X117" s="200"/>
      <c r="Y117" s="200"/>
      <c r="Z117" s="200"/>
      <c r="AA117" s="149"/>
      <c r="AB117" s="162"/>
      <c r="AC117" s="20"/>
      <c r="AD117" s="2"/>
    </row>
    <row r="118" spans="1:39" ht="243.75" customHeight="1" x14ac:dyDescent="0.65">
      <c r="A118" s="180"/>
      <c r="B118" s="182"/>
      <c r="C118" s="188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2"/>
      <c r="V118" s="180"/>
      <c r="W118" s="180"/>
      <c r="X118" s="200"/>
      <c r="Y118" s="200"/>
      <c r="Z118" s="200"/>
      <c r="AA118" s="149"/>
      <c r="AB118" s="162"/>
      <c r="AC118" s="20"/>
      <c r="AD118" s="2"/>
    </row>
    <row r="119" spans="1:39" ht="393.75" customHeight="1" x14ac:dyDescent="0.65">
      <c r="A119" s="112" t="s">
        <v>137</v>
      </c>
      <c r="B119" s="149" t="s">
        <v>138</v>
      </c>
      <c r="C119" s="115" t="s">
        <v>29</v>
      </c>
      <c r="D119" s="131">
        <v>6219985</v>
      </c>
      <c r="E119" s="131">
        <v>0</v>
      </c>
      <c r="F119" s="131">
        <v>0</v>
      </c>
      <c r="G119" s="152">
        <v>0</v>
      </c>
      <c r="H119" s="152">
        <v>0</v>
      </c>
      <c r="I119" s="152">
        <v>6219985</v>
      </c>
      <c r="J119" s="152">
        <v>0</v>
      </c>
      <c r="K119" s="131">
        <v>0</v>
      </c>
      <c r="L119" s="152">
        <v>0</v>
      </c>
      <c r="M119" s="152">
        <v>0</v>
      </c>
      <c r="N119" s="152">
        <v>2157753.5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12" t="s">
        <v>436</v>
      </c>
      <c r="V119" s="19"/>
      <c r="W119" s="112" t="s">
        <v>33</v>
      </c>
      <c r="X119" s="114">
        <v>18230</v>
      </c>
      <c r="Y119" s="114">
        <v>35968</v>
      </c>
      <c r="Z119" s="148" t="s">
        <v>34</v>
      </c>
      <c r="AA119" s="149"/>
      <c r="AB119" s="162">
        <f>N119-I119</f>
        <v>-4062231.5</v>
      </c>
      <c r="AC119" s="20"/>
      <c r="AD119" s="2"/>
      <c r="AM119" s="142" t="s">
        <v>377</v>
      </c>
    </row>
    <row r="120" spans="1:39" ht="386.25" customHeight="1" x14ac:dyDescent="0.65">
      <c r="A120" s="112" t="s">
        <v>354</v>
      </c>
      <c r="B120" s="149" t="s">
        <v>355</v>
      </c>
      <c r="C120" s="153" t="s">
        <v>29</v>
      </c>
      <c r="D120" s="131">
        <v>3689671.6</v>
      </c>
      <c r="E120" s="131">
        <v>1165159.3999999999</v>
      </c>
      <c r="F120" s="152">
        <v>0</v>
      </c>
      <c r="G120" s="152">
        <v>0</v>
      </c>
      <c r="H120" s="152">
        <v>0</v>
      </c>
      <c r="I120" s="152">
        <v>3689671.6</v>
      </c>
      <c r="J120" s="152">
        <v>0</v>
      </c>
      <c r="K120" s="131">
        <v>1165159.3999999999</v>
      </c>
      <c r="L120" s="152">
        <v>0</v>
      </c>
      <c r="M120" s="152">
        <v>0</v>
      </c>
      <c r="N120" s="152">
        <v>426002.5</v>
      </c>
      <c r="O120" s="152">
        <v>0</v>
      </c>
      <c r="P120" s="152">
        <v>133099</v>
      </c>
      <c r="Q120" s="152">
        <v>0</v>
      </c>
      <c r="R120" s="152">
        <v>0</v>
      </c>
      <c r="S120" s="152">
        <v>0</v>
      </c>
      <c r="T120" s="152">
        <v>0</v>
      </c>
      <c r="U120" s="112" t="s">
        <v>437</v>
      </c>
      <c r="V120" s="19"/>
      <c r="W120" s="112" t="s">
        <v>33</v>
      </c>
      <c r="X120" s="114">
        <v>76054</v>
      </c>
      <c r="Y120" s="114">
        <v>23583</v>
      </c>
      <c r="Z120" s="148" t="s">
        <v>327</v>
      </c>
      <c r="AA120" s="149" t="s">
        <v>342</v>
      </c>
      <c r="AB120" s="162">
        <f>(N120+P120)-(I120+K120)</f>
        <v>-4295729.5</v>
      </c>
      <c r="AC120" s="20"/>
      <c r="AD120" s="2"/>
      <c r="AM120" s="142" t="s">
        <v>377</v>
      </c>
    </row>
    <row r="121" spans="1:39" ht="393.75" customHeight="1" x14ac:dyDescent="0.65">
      <c r="A121" s="116" t="s">
        <v>47</v>
      </c>
      <c r="B121" s="149" t="s">
        <v>139</v>
      </c>
      <c r="C121" s="153" t="s">
        <v>29</v>
      </c>
      <c r="D121" s="131">
        <v>0</v>
      </c>
      <c r="E121" s="131">
        <v>17241.400000000001</v>
      </c>
      <c r="F121" s="152">
        <v>0</v>
      </c>
      <c r="G121" s="152">
        <v>0</v>
      </c>
      <c r="H121" s="152">
        <v>0</v>
      </c>
      <c r="I121" s="152">
        <v>0</v>
      </c>
      <c r="J121" s="152">
        <v>0</v>
      </c>
      <c r="K121" s="152">
        <v>17241.400000000001</v>
      </c>
      <c r="L121" s="152">
        <v>0</v>
      </c>
      <c r="M121" s="152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12" t="s">
        <v>364</v>
      </c>
      <c r="V121" s="19"/>
      <c r="W121" s="19" t="s">
        <v>49</v>
      </c>
      <c r="X121" s="151">
        <v>15</v>
      </c>
      <c r="Y121" s="151">
        <v>0</v>
      </c>
      <c r="Z121" s="148" t="s">
        <v>327</v>
      </c>
      <c r="AA121" s="149" t="s">
        <v>363</v>
      </c>
      <c r="AB121" s="162">
        <f t="shared" si="4"/>
        <v>-17241.400000000001</v>
      </c>
      <c r="AC121" s="20"/>
      <c r="AD121" s="2"/>
      <c r="AM121" s="142" t="s">
        <v>378</v>
      </c>
    </row>
    <row r="122" spans="1:39" ht="390.75" customHeight="1" x14ac:dyDescent="0.65">
      <c r="A122" s="185" t="s">
        <v>50</v>
      </c>
      <c r="B122" s="182" t="s">
        <v>140</v>
      </c>
      <c r="C122" s="184" t="s">
        <v>29</v>
      </c>
      <c r="D122" s="183">
        <v>0</v>
      </c>
      <c r="E122" s="183">
        <v>77241.5</v>
      </c>
      <c r="F122" s="183">
        <v>0</v>
      </c>
      <c r="G122" s="183">
        <v>0</v>
      </c>
      <c r="H122" s="183">
        <v>0</v>
      </c>
      <c r="I122" s="183">
        <v>0</v>
      </c>
      <c r="J122" s="183">
        <v>0</v>
      </c>
      <c r="K122" s="183">
        <v>77241.5</v>
      </c>
      <c r="L122" s="183">
        <v>0</v>
      </c>
      <c r="M122" s="183">
        <v>0</v>
      </c>
      <c r="N122" s="183">
        <v>0</v>
      </c>
      <c r="O122" s="183">
        <v>0</v>
      </c>
      <c r="P122" s="183">
        <v>26000</v>
      </c>
      <c r="Q122" s="183">
        <v>0</v>
      </c>
      <c r="R122" s="183">
        <v>0</v>
      </c>
      <c r="S122" s="183">
        <v>0</v>
      </c>
      <c r="T122" s="183">
        <v>0</v>
      </c>
      <c r="U122" s="188" t="s">
        <v>438</v>
      </c>
      <c r="V122" s="181"/>
      <c r="W122" s="181" t="s">
        <v>33</v>
      </c>
      <c r="X122" s="186">
        <v>247</v>
      </c>
      <c r="Y122" s="186">
        <v>82</v>
      </c>
      <c r="Z122" s="180" t="s">
        <v>327</v>
      </c>
      <c r="AA122" s="182" t="s">
        <v>344</v>
      </c>
      <c r="AB122" s="162">
        <f t="shared" si="4"/>
        <v>-51241.5</v>
      </c>
      <c r="AC122" s="167"/>
      <c r="AD122" s="27"/>
      <c r="AM122" s="142" t="s">
        <v>379</v>
      </c>
    </row>
    <row r="123" spans="1:39" ht="148.5" hidden="1" customHeight="1" x14ac:dyDescent="0.65">
      <c r="A123" s="185"/>
      <c r="B123" s="182"/>
      <c r="C123" s="184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8"/>
      <c r="V123" s="181"/>
      <c r="W123" s="181"/>
      <c r="X123" s="186"/>
      <c r="Y123" s="186"/>
      <c r="Z123" s="180"/>
      <c r="AA123" s="182"/>
      <c r="AB123" s="162">
        <f t="shared" si="4"/>
        <v>0</v>
      </c>
      <c r="AC123" s="167"/>
      <c r="AD123" s="27"/>
    </row>
    <row r="124" spans="1:39" ht="387.75" x14ac:dyDescent="0.65">
      <c r="A124" s="154" t="s">
        <v>53</v>
      </c>
      <c r="B124" s="149" t="s">
        <v>141</v>
      </c>
      <c r="C124" s="153" t="s">
        <v>29</v>
      </c>
      <c r="D124" s="152">
        <v>0</v>
      </c>
      <c r="E124" s="131">
        <v>1369796.8</v>
      </c>
      <c r="F124" s="131">
        <v>0</v>
      </c>
      <c r="G124" s="152">
        <v>0</v>
      </c>
      <c r="H124" s="152">
        <v>0</v>
      </c>
      <c r="I124" s="152">
        <v>0</v>
      </c>
      <c r="J124" s="152">
        <v>0</v>
      </c>
      <c r="K124" s="131">
        <v>1369796.8</v>
      </c>
      <c r="L124" s="152">
        <v>0</v>
      </c>
      <c r="M124" s="152">
        <v>0</v>
      </c>
      <c r="N124" s="152">
        <v>0</v>
      </c>
      <c r="O124" s="152">
        <v>0</v>
      </c>
      <c r="P124" s="152">
        <v>684961</v>
      </c>
      <c r="Q124" s="152">
        <v>0</v>
      </c>
      <c r="R124" s="152">
        <v>0</v>
      </c>
      <c r="S124" s="152">
        <v>0</v>
      </c>
      <c r="T124" s="152">
        <v>9564</v>
      </c>
      <c r="U124" s="149" t="s">
        <v>439</v>
      </c>
      <c r="V124" s="151"/>
      <c r="W124" s="148" t="s">
        <v>33</v>
      </c>
      <c r="X124" s="114">
        <v>263217</v>
      </c>
      <c r="Y124" s="147">
        <v>271976</v>
      </c>
      <c r="Z124" s="148" t="s">
        <v>34</v>
      </c>
      <c r="AA124" s="149"/>
      <c r="AB124" s="162">
        <f t="shared" si="4"/>
        <v>-684835.8</v>
      </c>
      <c r="AC124" s="20"/>
      <c r="AD124" s="2"/>
      <c r="AM124" s="142" t="s">
        <v>377</v>
      </c>
    </row>
    <row r="125" spans="1:39" ht="387.75" x14ac:dyDescent="0.65">
      <c r="A125" s="148" t="s">
        <v>113</v>
      </c>
      <c r="B125" s="149" t="s">
        <v>142</v>
      </c>
      <c r="C125" s="153" t="s">
        <v>29</v>
      </c>
      <c r="D125" s="131">
        <v>37175.9</v>
      </c>
      <c r="E125" s="152">
        <v>0</v>
      </c>
      <c r="F125" s="152">
        <v>0</v>
      </c>
      <c r="G125" s="152">
        <v>0</v>
      </c>
      <c r="H125" s="152">
        <v>0</v>
      </c>
      <c r="I125" s="131">
        <v>37175.9</v>
      </c>
      <c r="J125" s="152">
        <v>0</v>
      </c>
      <c r="K125" s="152">
        <v>0</v>
      </c>
      <c r="L125" s="152">
        <v>0</v>
      </c>
      <c r="M125" s="152">
        <v>0</v>
      </c>
      <c r="N125" s="152">
        <v>14303.4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49" t="s">
        <v>440</v>
      </c>
      <c r="V125" s="151"/>
      <c r="W125" s="151" t="s">
        <v>33</v>
      </c>
      <c r="X125" s="114">
        <v>1600</v>
      </c>
      <c r="Y125" s="151">
        <v>634</v>
      </c>
      <c r="Z125" s="148" t="s">
        <v>327</v>
      </c>
      <c r="AA125" s="149" t="s">
        <v>344</v>
      </c>
      <c r="AB125" s="162">
        <f>N125-I125</f>
        <v>-22872.5</v>
      </c>
      <c r="AC125" s="20"/>
      <c r="AD125" s="2"/>
      <c r="AM125" s="142" t="s">
        <v>379</v>
      </c>
    </row>
    <row r="126" spans="1:39" ht="387.75" x14ac:dyDescent="0.65">
      <c r="A126" s="148" t="s">
        <v>117</v>
      </c>
      <c r="B126" s="149" t="s">
        <v>143</v>
      </c>
      <c r="C126" s="153" t="s">
        <v>29</v>
      </c>
      <c r="D126" s="131">
        <v>0</v>
      </c>
      <c r="E126" s="131">
        <v>923393</v>
      </c>
      <c r="F126" s="152">
        <v>0</v>
      </c>
      <c r="G126" s="152">
        <v>0</v>
      </c>
      <c r="H126" s="152">
        <v>0</v>
      </c>
      <c r="I126" s="131">
        <v>0</v>
      </c>
      <c r="J126" s="152">
        <v>0</v>
      </c>
      <c r="K126" s="131">
        <v>923393</v>
      </c>
      <c r="L126" s="152">
        <v>0</v>
      </c>
      <c r="M126" s="152">
        <v>0</v>
      </c>
      <c r="N126" s="152">
        <v>0</v>
      </c>
      <c r="O126" s="152">
        <v>0</v>
      </c>
      <c r="P126" s="152">
        <v>190051.7</v>
      </c>
      <c r="Q126" s="152">
        <v>0</v>
      </c>
      <c r="R126" s="152">
        <v>0</v>
      </c>
      <c r="S126" s="152">
        <v>0</v>
      </c>
      <c r="T126" s="152">
        <v>898.2</v>
      </c>
      <c r="U126" s="149" t="s">
        <v>441</v>
      </c>
      <c r="V126" s="151"/>
      <c r="W126" s="151" t="s">
        <v>33</v>
      </c>
      <c r="X126" s="114">
        <v>6814</v>
      </c>
      <c r="Y126" s="114">
        <v>1997</v>
      </c>
      <c r="Z126" s="148" t="s">
        <v>327</v>
      </c>
      <c r="AA126" s="149" t="s">
        <v>344</v>
      </c>
      <c r="AB126" s="162">
        <f t="shared" si="4"/>
        <v>-733341.3</v>
      </c>
      <c r="AC126" s="20"/>
      <c r="AD126" s="2"/>
      <c r="AG126" s="13">
        <f>P126/K126*100</f>
        <v>20.58188658566829</v>
      </c>
      <c r="AM126" s="142" t="s">
        <v>369</v>
      </c>
    </row>
    <row r="127" spans="1:39" ht="317.25" x14ac:dyDescent="0.65">
      <c r="A127" s="148" t="s">
        <v>119</v>
      </c>
      <c r="B127" s="149" t="s">
        <v>144</v>
      </c>
      <c r="C127" s="153" t="s">
        <v>29</v>
      </c>
      <c r="D127" s="131">
        <v>0</v>
      </c>
      <c r="E127" s="131">
        <v>203.5</v>
      </c>
      <c r="F127" s="152">
        <v>0</v>
      </c>
      <c r="G127" s="152">
        <v>0</v>
      </c>
      <c r="H127" s="152">
        <v>0</v>
      </c>
      <c r="I127" s="131">
        <v>0</v>
      </c>
      <c r="J127" s="152">
        <v>0</v>
      </c>
      <c r="K127" s="131">
        <v>203.5</v>
      </c>
      <c r="L127" s="152">
        <v>0</v>
      </c>
      <c r="M127" s="152">
        <v>0</v>
      </c>
      <c r="N127" s="152">
        <v>0</v>
      </c>
      <c r="O127" s="152">
        <v>0</v>
      </c>
      <c r="P127" s="152">
        <v>203.5</v>
      </c>
      <c r="Q127" s="152">
        <v>0</v>
      </c>
      <c r="R127" s="152">
        <v>0</v>
      </c>
      <c r="S127" s="152">
        <v>0</v>
      </c>
      <c r="T127" s="152">
        <v>203.5</v>
      </c>
      <c r="U127" s="149"/>
      <c r="V127" s="151"/>
      <c r="W127" s="151" t="s">
        <v>145</v>
      </c>
      <c r="X127" s="114">
        <v>7537</v>
      </c>
      <c r="Y127" s="114">
        <v>6950</v>
      </c>
      <c r="Z127" s="148" t="s">
        <v>462</v>
      </c>
      <c r="AA127" s="149" t="s">
        <v>367</v>
      </c>
      <c r="AB127" s="162">
        <f t="shared" si="4"/>
        <v>0</v>
      </c>
      <c r="AC127" s="20"/>
      <c r="AD127" s="2"/>
      <c r="AM127" s="142" t="s">
        <v>378</v>
      </c>
    </row>
    <row r="128" spans="1:39" ht="409.6" customHeight="1" x14ac:dyDescent="0.65">
      <c r="A128" s="185" t="s">
        <v>56</v>
      </c>
      <c r="B128" s="182" t="s">
        <v>539</v>
      </c>
      <c r="C128" s="184" t="s">
        <v>29</v>
      </c>
      <c r="D128" s="183">
        <v>0</v>
      </c>
      <c r="E128" s="189">
        <v>1938216.4</v>
      </c>
      <c r="F128" s="189">
        <v>0</v>
      </c>
      <c r="G128" s="183">
        <v>0</v>
      </c>
      <c r="H128" s="183">
        <v>0</v>
      </c>
      <c r="I128" s="183">
        <v>0</v>
      </c>
      <c r="J128" s="183">
        <v>0</v>
      </c>
      <c r="K128" s="183">
        <v>1938216.4</v>
      </c>
      <c r="L128" s="183">
        <v>0</v>
      </c>
      <c r="M128" s="183">
        <v>0</v>
      </c>
      <c r="N128" s="183">
        <v>0</v>
      </c>
      <c r="O128" s="183">
        <v>0</v>
      </c>
      <c r="P128" s="183">
        <v>957773</v>
      </c>
      <c r="Q128" s="183">
        <v>0</v>
      </c>
      <c r="R128" s="183">
        <v>0</v>
      </c>
      <c r="S128" s="183">
        <v>0</v>
      </c>
      <c r="T128" s="183">
        <v>0</v>
      </c>
      <c r="U128" s="182" t="s">
        <v>442</v>
      </c>
      <c r="V128" s="181"/>
      <c r="W128" s="181" t="s">
        <v>33</v>
      </c>
      <c r="X128" s="200">
        <v>13490</v>
      </c>
      <c r="Y128" s="186">
        <v>12990</v>
      </c>
      <c r="Z128" s="180" t="s">
        <v>327</v>
      </c>
      <c r="AA128" s="149" t="s">
        <v>344</v>
      </c>
      <c r="AB128" s="162">
        <f t="shared" si="4"/>
        <v>-980443.39999999991</v>
      </c>
      <c r="AC128" s="20"/>
      <c r="AD128" s="22"/>
      <c r="AG128" s="13">
        <f>P128/K128*100</f>
        <v>49.415173661723223</v>
      </c>
      <c r="AM128" s="142" t="s">
        <v>379</v>
      </c>
    </row>
    <row r="129" spans="1:39" ht="364.5" customHeight="1" x14ac:dyDescent="0.65">
      <c r="A129" s="185"/>
      <c r="B129" s="182"/>
      <c r="C129" s="184"/>
      <c r="D129" s="183"/>
      <c r="E129" s="189"/>
      <c r="F129" s="189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2"/>
      <c r="V129" s="181"/>
      <c r="W129" s="181"/>
      <c r="X129" s="200"/>
      <c r="Y129" s="186"/>
      <c r="Z129" s="180"/>
      <c r="AA129" s="149"/>
      <c r="AB129" s="162"/>
      <c r="AC129" s="20"/>
      <c r="AD129" s="2"/>
      <c r="AG129" s="13"/>
    </row>
    <row r="130" spans="1:39" ht="409.5" customHeight="1" x14ac:dyDescent="0.65">
      <c r="A130" s="185" t="s">
        <v>58</v>
      </c>
      <c r="B130" s="182" t="s">
        <v>553</v>
      </c>
      <c r="C130" s="184" t="s">
        <v>29</v>
      </c>
      <c r="D130" s="183">
        <v>0</v>
      </c>
      <c r="E130" s="189">
        <v>1667117.6</v>
      </c>
      <c r="F130" s="189">
        <v>0</v>
      </c>
      <c r="G130" s="183">
        <v>0</v>
      </c>
      <c r="H130" s="183">
        <v>0</v>
      </c>
      <c r="I130" s="183">
        <v>0</v>
      </c>
      <c r="J130" s="183">
        <v>0</v>
      </c>
      <c r="K130" s="183">
        <v>1667117.6</v>
      </c>
      <c r="L130" s="183">
        <v>0</v>
      </c>
      <c r="M130" s="183">
        <v>0</v>
      </c>
      <c r="N130" s="183">
        <v>0</v>
      </c>
      <c r="O130" s="183">
        <v>0</v>
      </c>
      <c r="P130" s="183">
        <v>753965.5</v>
      </c>
      <c r="Q130" s="183">
        <v>0</v>
      </c>
      <c r="R130" s="183">
        <v>0</v>
      </c>
      <c r="S130" s="183">
        <v>0</v>
      </c>
      <c r="T130" s="183">
        <v>0</v>
      </c>
      <c r="U130" s="182" t="s">
        <v>443</v>
      </c>
      <c r="V130" s="181"/>
      <c r="W130" s="181" t="s">
        <v>33</v>
      </c>
      <c r="X130" s="186">
        <v>7959</v>
      </c>
      <c r="Y130" s="186">
        <v>7917</v>
      </c>
      <c r="Z130" s="180" t="s">
        <v>327</v>
      </c>
      <c r="AA130" s="149"/>
      <c r="AB130" s="162">
        <f t="shared" si="4"/>
        <v>-913152.10000000009</v>
      </c>
      <c r="AC130" s="20"/>
      <c r="AD130" s="2"/>
      <c r="AG130" s="13">
        <f>P130/K130*100</f>
        <v>45.225693736302702</v>
      </c>
      <c r="AM130" s="142" t="s">
        <v>379</v>
      </c>
    </row>
    <row r="131" spans="1:39" ht="226.5" customHeight="1" x14ac:dyDescent="0.65">
      <c r="A131" s="185"/>
      <c r="B131" s="182"/>
      <c r="C131" s="184"/>
      <c r="D131" s="183"/>
      <c r="E131" s="189"/>
      <c r="F131" s="189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2"/>
      <c r="V131" s="181"/>
      <c r="W131" s="181"/>
      <c r="X131" s="186"/>
      <c r="Y131" s="186"/>
      <c r="Z131" s="180"/>
      <c r="AA131" s="149"/>
      <c r="AB131" s="162"/>
      <c r="AC131" s="20"/>
      <c r="AD131" s="2"/>
      <c r="AG131" s="13"/>
    </row>
    <row r="132" spans="1:39" ht="409.5" customHeight="1" x14ac:dyDescent="0.65">
      <c r="A132" s="185" t="s">
        <v>146</v>
      </c>
      <c r="B132" s="182" t="s">
        <v>554</v>
      </c>
      <c r="C132" s="184" t="s">
        <v>29</v>
      </c>
      <c r="D132" s="183">
        <v>0</v>
      </c>
      <c r="E132" s="189">
        <v>15982.7</v>
      </c>
      <c r="F132" s="189">
        <v>0</v>
      </c>
      <c r="G132" s="183">
        <v>0</v>
      </c>
      <c r="H132" s="183">
        <v>0</v>
      </c>
      <c r="I132" s="183">
        <v>0</v>
      </c>
      <c r="J132" s="183">
        <v>0</v>
      </c>
      <c r="K132" s="183">
        <v>15982.7</v>
      </c>
      <c r="L132" s="183">
        <v>0</v>
      </c>
      <c r="M132" s="183">
        <v>0</v>
      </c>
      <c r="N132" s="183">
        <v>0</v>
      </c>
      <c r="O132" s="183">
        <v>0</v>
      </c>
      <c r="P132" s="183">
        <v>4418.3</v>
      </c>
      <c r="Q132" s="183">
        <v>0</v>
      </c>
      <c r="R132" s="183">
        <v>0</v>
      </c>
      <c r="S132" s="183">
        <v>0</v>
      </c>
      <c r="T132" s="183">
        <v>0</v>
      </c>
      <c r="U132" s="182" t="s">
        <v>444</v>
      </c>
      <c r="V132" s="181"/>
      <c r="W132" s="181" t="s">
        <v>33</v>
      </c>
      <c r="X132" s="181">
        <v>118</v>
      </c>
      <c r="Y132" s="181">
        <v>71</v>
      </c>
      <c r="Z132" s="180" t="s">
        <v>327</v>
      </c>
      <c r="AA132" s="149" t="s">
        <v>344</v>
      </c>
      <c r="AB132" s="162">
        <f t="shared" si="4"/>
        <v>-11564.400000000001</v>
      </c>
      <c r="AC132" s="165"/>
      <c r="AD132" s="24"/>
      <c r="AM132" s="142" t="s">
        <v>379</v>
      </c>
    </row>
    <row r="133" spans="1:39" ht="271.5" customHeight="1" x14ac:dyDescent="0.65">
      <c r="A133" s="185"/>
      <c r="B133" s="182"/>
      <c r="C133" s="184"/>
      <c r="D133" s="183"/>
      <c r="E133" s="189"/>
      <c r="F133" s="189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2"/>
      <c r="V133" s="181"/>
      <c r="W133" s="181"/>
      <c r="X133" s="181"/>
      <c r="Y133" s="181"/>
      <c r="Z133" s="180"/>
      <c r="AA133" s="149"/>
      <c r="AB133" s="162"/>
      <c r="AC133" s="165"/>
      <c r="AD133" s="24"/>
    </row>
    <row r="134" spans="1:39" ht="408.75" customHeight="1" x14ac:dyDescent="0.65">
      <c r="A134" s="185" t="s">
        <v>147</v>
      </c>
      <c r="B134" s="182" t="s">
        <v>555</v>
      </c>
      <c r="C134" s="184" t="s">
        <v>29</v>
      </c>
      <c r="D134" s="183">
        <v>0</v>
      </c>
      <c r="E134" s="183">
        <v>20309.3</v>
      </c>
      <c r="F134" s="183">
        <v>0</v>
      </c>
      <c r="G134" s="183">
        <v>0</v>
      </c>
      <c r="H134" s="183">
        <v>0</v>
      </c>
      <c r="I134" s="183">
        <v>0</v>
      </c>
      <c r="J134" s="183">
        <v>0</v>
      </c>
      <c r="K134" s="183">
        <v>20309.3</v>
      </c>
      <c r="L134" s="183">
        <v>0</v>
      </c>
      <c r="M134" s="183">
        <v>0</v>
      </c>
      <c r="N134" s="183">
        <v>0</v>
      </c>
      <c r="O134" s="183">
        <v>0</v>
      </c>
      <c r="P134" s="183">
        <v>4938.2</v>
      </c>
      <c r="Q134" s="183">
        <v>0</v>
      </c>
      <c r="R134" s="183">
        <v>0</v>
      </c>
      <c r="S134" s="183">
        <v>0</v>
      </c>
      <c r="T134" s="183">
        <v>0</v>
      </c>
      <c r="U134" s="182" t="s">
        <v>445</v>
      </c>
      <c r="V134" s="181"/>
      <c r="W134" s="181" t="s">
        <v>33</v>
      </c>
      <c r="X134" s="181">
        <v>122</v>
      </c>
      <c r="Y134" s="181">
        <v>78</v>
      </c>
      <c r="Z134" s="180" t="s">
        <v>327</v>
      </c>
      <c r="AA134" s="149" t="s">
        <v>344</v>
      </c>
      <c r="AB134" s="162">
        <f t="shared" si="4"/>
        <v>-15371.099999999999</v>
      </c>
      <c r="AC134" s="20"/>
      <c r="AD134" s="2"/>
      <c r="AG134" s="13">
        <f>P134/K134*100</f>
        <v>24.314969004347763</v>
      </c>
      <c r="AH134" s="13">
        <f>P134-K134</f>
        <v>-15371.099999999999</v>
      </c>
      <c r="AM134" s="142" t="s">
        <v>379</v>
      </c>
    </row>
    <row r="135" spans="1:39" ht="341.25" customHeight="1" x14ac:dyDescent="0.65">
      <c r="A135" s="185"/>
      <c r="B135" s="182"/>
      <c r="C135" s="184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2"/>
      <c r="V135" s="181"/>
      <c r="W135" s="181"/>
      <c r="X135" s="181"/>
      <c r="Y135" s="181"/>
      <c r="Z135" s="180"/>
      <c r="AA135" s="149"/>
      <c r="AB135" s="162"/>
      <c r="AC135" s="20"/>
      <c r="AD135" s="2"/>
      <c r="AG135" s="13"/>
      <c r="AH135" s="13"/>
    </row>
    <row r="136" spans="1:39" ht="409.6" customHeight="1" x14ac:dyDescent="0.65">
      <c r="A136" s="185" t="s">
        <v>148</v>
      </c>
      <c r="B136" s="182" t="s">
        <v>358</v>
      </c>
      <c r="C136" s="184" t="s">
        <v>29</v>
      </c>
      <c r="D136" s="183">
        <v>0</v>
      </c>
      <c r="E136" s="189">
        <v>389814.9</v>
      </c>
      <c r="F136" s="189">
        <v>0</v>
      </c>
      <c r="G136" s="183">
        <v>0</v>
      </c>
      <c r="H136" s="183">
        <v>0</v>
      </c>
      <c r="I136" s="183">
        <v>0</v>
      </c>
      <c r="J136" s="183">
        <v>0</v>
      </c>
      <c r="K136" s="183">
        <v>389814.9</v>
      </c>
      <c r="L136" s="183">
        <v>0</v>
      </c>
      <c r="M136" s="183">
        <v>0</v>
      </c>
      <c r="N136" s="183">
        <v>0</v>
      </c>
      <c r="O136" s="183">
        <v>0</v>
      </c>
      <c r="P136" s="183">
        <v>154938.29999999999</v>
      </c>
      <c r="Q136" s="183">
        <v>0</v>
      </c>
      <c r="R136" s="183">
        <v>0</v>
      </c>
      <c r="S136" s="183">
        <v>0</v>
      </c>
      <c r="T136" s="183">
        <v>0</v>
      </c>
      <c r="U136" s="188" t="s">
        <v>446</v>
      </c>
      <c r="V136" s="181"/>
      <c r="W136" s="181" t="s">
        <v>33</v>
      </c>
      <c r="X136" s="181">
        <v>525</v>
      </c>
      <c r="Y136" s="181">
        <v>512</v>
      </c>
      <c r="Z136" s="180" t="s">
        <v>327</v>
      </c>
      <c r="AA136" s="182"/>
      <c r="AB136" s="162">
        <f t="shared" si="4"/>
        <v>-234876.60000000003</v>
      </c>
      <c r="AC136" s="20"/>
      <c r="AD136" s="2"/>
      <c r="AM136" s="142" t="s">
        <v>379</v>
      </c>
    </row>
    <row r="137" spans="1:39" ht="409.6" customHeight="1" x14ac:dyDescent="0.65">
      <c r="A137" s="185"/>
      <c r="B137" s="182"/>
      <c r="C137" s="184"/>
      <c r="D137" s="183"/>
      <c r="E137" s="189"/>
      <c r="F137" s="189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8"/>
      <c r="V137" s="181"/>
      <c r="W137" s="181"/>
      <c r="X137" s="181"/>
      <c r="Y137" s="181"/>
      <c r="Z137" s="180"/>
      <c r="AA137" s="182"/>
      <c r="AB137" s="162">
        <f t="shared" si="4"/>
        <v>0</v>
      </c>
      <c r="AC137" s="20"/>
      <c r="AD137" s="2"/>
    </row>
    <row r="138" spans="1:39" ht="142.5" customHeight="1" x14ac:dyDescent="0.65">
      <c r="A138" s="185"/>
      <c r="B138" s="182"/>
      <c r="C138" s="184"/>
      <c r="D138" s="183"/>
      <c r="E138" s="189"/>
      <c r="F138" s="189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8"/>
      <c r="V138" s="181"/>
      <c r="W138" s="181"/>
      <c r="X138" s="181"/>
      <c r="Y138" s="181"/>
      <c r="Z138" s="180"/>
      <c r="AA138" s="149"/>
      <c r="AB138" s="162"/>
      <c r="AC138" s="20"/>
      <c r="AD138" s="2"/>
    </row>
    <row r="139" spans="1:39" ht="408.75" customHeight="1" x14ac:dyDescent="0.65">
      <c r="A139" s="185" t="s">
        <v>149</v>
      </c>
      <c r="B139" s="182" t="s">
        <v>537</v>
      </c>
      <c r="C139" s="184" t="s">
        <v>29</v>
      </c>
      <c r="D139" s="183">
        <v>0</v>
      </c>
      <c r="E139" s="189">
        <v>28195.200000000001</v>
      </c>
      <c r="F139" s="189">
        <v>0</v>
      </c>
      <c r="G139" s="183">
        <v>0</v>
      </c>
      <c r="H139" s="183">
        <v>0</v>
      </c>
      <c r="I139" s="183">
        <v>0</v>
      </c>
      <c r="J139" s="183">
        <v>0</v>
      </c>
      <c r="K139" s="183">
        <v>28195.200000000001</v>
      </c>
      <c r="L139" s="183">
        <v>0</v>
      </c>
      <c r="M139" s="183">
        <v>0</v>
      </c>
      <c r="N139" s="183">
        <v>0</v>
      </c>
      <c r="O139" s="183">
        <v>0</v>
      </c>
      <c r="P139" s="183">
        <v>11349.8</v>
      </c>
      <c r="Q139" s="183">
        <v>0</v>
      </c>
      <c r="R139" s="183">
        <v>0</v>
      </c>
      <c r="S139" s="183">
        <v>0</v>
      </c>
      <c r="T139" s="183">
        <v>0</v>
      </c>
      <c r="U139" s="187" t="s">
        <v>447</v>
      </c>
      <c r="V139" s="181"/>
      <c r="W139" s="181" t="s">
        <v>33</v>
      </c>
      <c r="X139" s="181">
        <v>44</v>
      </c>
      <c r="Y139" s="181">
        <v>44</v>
      </c>
      <c r="Z139" s="180" t="s">
        <v>34</v>
      </c>
      <c r="AA139" s="190"/>
      <c r="AB139" s="162">
        <f t="shared" si="4"/>
        <v>-16845.400000000001</v>
      </c>
      <c r="AC139" s="20"/>
      <c r="AD139" s="2"/>
      <c r="AM139" s="142" t="s">
        <v>380</v>
      </c>
    </row>
    <row r="140" spans="1:39" ht="201.75" customHeight="1" x14ac:dyDescent="0.65">
      <c r="A140" s="185"/>
      <c r="B140" s="182"/>
      <c r="C140" s="184"/>
      <c r="D140" s="183"/>
      <c r="E140" s="189"/>
      <c r="F140" s="189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7"/>
      <c r="V140" s="181"/>
      <c r="W140" s="181"/>
      <c r="X140" s="181"/>
      <c r="Y140" s="181"/>
      <c r="Z140" s="180"/>
      <c r="AA140" s="190"/>
      <c r="AB140" s="162">
        <f t="shared" si="4"/>
        <v>0</v>
      </c>
      <c r="AC140" s="20"/>
      <c r="AD140" s="2"/>
    </row>
    <row r="141" spans="1:39" ht="408.75" customHeight="1" x14ac:dyDescent="0.65">
      <c r="A141" s="185" t="s">
        <v>150</v>
      </c>
      <c r="B141" s="182" t="s">
        <v>538</v>
      </c>
      <c r="C141" s="184" t="s">
        <v>29</v>
      </c>
      <c r="D141" s="183">
        <v>0</v>
      </c>
      <c r="E141" s="183">
        <v>183274</v>
      </c>
      <c r="F141" s="183">
        <v>0</v>
      </c>
      <c r="G141" s="183">
        <v>0</v>
      </c>
      <c r="H141" s="183">
        <v>0</v>
      </c>
      <c r="I141" s="183">
        <v>0</v>
      </c>
      <c r="J141" s="183">
        <v>0</v>
      </c>
      <c r="K141" s="183">
        <v>183274</v>
      </c>
      <c r="L141" s="183">
        <v>0</v>
      </c>
      <c r="M141" s="183">
        <v>0</v>
      </c>
      <c r="N141" s="183">
        <v>0</v>
      </c>
      <c r="O141" s="183">
        <v>0</v>
      </c>
      <c r="P141" s="183">
        <v>75070.3</v>
      </c>
      <c r="Q141" s="183">
        <v>0</v>
      </c>
      <c r="R141" s="183">
        <v>0</v>
      </c>
      <c r="S141" s="183">
        <v>0</v>
      </c>
      <c r="T141" s="183">
        <v>0</v>
      </c>
      <c r="U141" s="182" t="s">
        <v>449</v>
      </c>
      <c r="V141" s="181"/>
      <c r="W141" s="181" t="s">
        <v>33</v>
      </c>
      <c r="X141" s="181">
        <v>212</v>
      </c>
      <c r="Y141" s="181">
        <v>212</v>
      </c>
      <c r="Z141" s="180" t="s">
        <v>34</v>
      </c>
      <c r="AA141" s="149"/>
      <c r="AB141" s="162">
        <f t="shared" si="4"/>
        <v>-108203.7</v>
      </c>
      <c r="AC141" s="20"/>
      <c r="AD141" s="2"/>
      <c r="AM141" s="142" t="s">
        <v>381</v>
      </c>
    </row>
    <row r="142" spans="1:39" ht="126.75" customHeight="1" x14ac:dyDescent="0.65">
      <c r="A142" s="185"/>
      <c r="B142" s="182"/>
      <c r="C142" s="184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2"/>
      <c r="V142" s="181"/>
      <c r="W142" s="181"/>
      <c r="X142" s="181"/>
      <c r="Y142" s="181"/>
      <c r="Z142" s="180"/>
      <c r="AA142" s="149"/>
      <c r="AB142" s="162"/>
      <c r="AC142" s="20"/>
      <c r="AD142" s="2"/>
    </row>
    <row r="143" spans="1:39" ht="408.75" customHeight="1" x14ac:dyDescent="0.65">
      <c r="A143" s="185" t="s">
        <v>151</v>
      </c>
      <c r="B143" s="182" t="s">
        <v>536</v>
      </c>
      <c r="C143" s="184" t="s">
        <v>29</v>
      </c>
      <c r="D143" s="183">
        <v>905.2</v>
      </c>
      <c r="E143" s="183">
        <v>0</v>
      </c>
      <c r="F143" s="183">
        <v>0</v>
      </c>
      <c r="G143" s="183">
        <v>0</v>
      </c>
      <c r="H143" s="183">
        <v>0</v>
      </c>
      <c r="I143" s="183">
        <v>905.2</v>
      </c>
      <c r="J143" s="183">
        <v>0</v>
      </c>
      <c r="K143" s="183">
        <v>0</v>
      </c>
      <c r="L143" s="183">
        <v>0</v>
      </c>
      <c r="M143" s="183">
        <v>0</v>
      </c>
      <c r="N143" s="183">
        <v>131.30000000000001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28.9</v>
      </c>
      <c r="U143" s="182" t="s">
        <v>448</v>
      </c>
      <c r="V143" s="181"/>
      <c r="W143" s="181" t="s">
        <v>33</v>
      </c>
      <c r="X143" s="181">
        <v>10</v>
      </c>
      <c r="Y143" s="181">
        <v>3</v>
      </c>
      <c r="Z143" s="180" t="s">
        <v>383</v>
      </c>
      <c r="AA143" s="182" t="s">
        <v>345</v>
      </c>
      <c r="AB143" s="162">
        <f>N143-I143</f>
        <v>-773.90000000000009</v>
      </c>
      <c r="AC143" s="20"/>
      <c r="AD143" s="2"/>
      <c r="AM143" s="142" t="s">
        <v>376</v>
      </c>
    </row>
    <row r="144" spans="1:39" ht="301.5" customHeight="1" x14ac:dyDescent="0.65">
      <c r="A144" s="185"/>
      <c r="B144" s="182"/>
      <c r="C144" s="184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2"/>
      <c r="V144" s="181"/>
      <c r="W144" s="181"/>
      <c r="X144" s="181"/>
      <c r="Y144" s="181"/>
      <c r="Z144" s="180"/>
      <c r="AA144" s="182"/>
      <c r="AB144" s="162">
        <f t="shared" si="4"/>
        <v>0</v>
      </c>
      <c r="AC144" s="20"/>
      <c r="AD144" s="2"/>
    </row>
    <row r="145" spans="1:39" ht="408.75" customHeight="1" x14ac:dyDescent="0.65">
      <c r="A145" s="185" t="s">
        <v>69</v>
      </c>
      <c r="B145" s="182" t="s">
        <v>152</v>
      </c>
      <c r="C145" s="184" t="s">
        <v>29</v>
      </c>
      <c r="D145" s="183">
        <v>0</v>
      </c>
      <c r="E145" s="183">
        <v>13033.4</v>
      </c>
      <c r="F145" s="183">
        <v>0</v>
      </c>
      <c r="G145" s="183">
        <v>0</v>
      </c>
      <c r="H145" s="183">
        <v>0</v>
      </c>
      <c r="I145" s="183">
        <v>0</v>
      </c>
      <c r="J145" s="183">
        <v>0</v>
      </c>
      <c r="K145" s="183">
        <v>13033.4</v>
      </c>
      <c r="L145" s="183">
        <v>0</v>
      </c>
      <c r="M145" s="183">
        <v>0</v>
      </c>
      <c r="N145" s="183">
        <v>0</v>
      </c>
      <c r="O145" s="183">
        <v>0</v>
      </c>
      <c r="P145" s="183">
        <v>1529.9</v>
      </c>
      <c r="Q145" s="183">
        <v>0</v>
      </c>
      <c r="R145" s="183">
        <v>0</v>
      </c>
      <c r="S145" s="183">
        <v>0</v>
      </c>
      <c r="T145" s="183">
        <v>0</v>
      </c>
      <c r="U145" s="182" t="s">
        <v>450</v>
      </c>
      <c r="V145" s="180"/>
      <c r="W145" s="181" t="s">
        <v>33</v>
      </c>
      <c r="X145" s="181">
        <v>807</v>
      </c>
      <c r="Y145" s="181">
        <v>149</v>
      </c>
      <c r="Z145" s="180" t="s">
        <v>327</v>
      </c>
      <c r="AA145" s="149" t="s">
        <v>341</v>
      </c>
      <c r="AB145" s="162">
        <f t="shared" si="4"/>
        <v>-11503.5</v>
      </c>
      <c r="AC145" s="20"/>
      <c r="AD145" s="2"/>
      <c r="AM145" s="142" t="s">
        <v>382</v>
      </c>
    </row>
    <row r="146" spans="1:39" ht="408.75" customHeight="1" x14ac:dyDescent="0.65">
      <c r="A146" s="185"/>
      <c r="B146" s="182"/>
      <c r="C146" s="184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2"/>
      <c r="V146" s="180"/>
      <c r="W146" s="181"/>
      <c r="X146" s="181"/>
      <c r="Y146" s="181"/>
      <c r="Z146" s="180"/>
      <c r="AA146" s="149"/>
      <c r="AB146" s="162"/>
      <c r="AC146" s="20"/>
      <c r="AD146" s="2"/>
    </row>
    <row r="147" spans="1:39" x14ac:dyDescent="0.65">
      <c r="A147" s="195"/>
      <c r="B147" s="195"/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28"/>
      <c r="Z147" s="28"/>
      <c r="AA147" s="29"/>
      <c r="AB147" s="1"/>
      <c r="AC147" s="2"/>
      <c r="AD147" s="2"/>
    </row>
    <row r="148" spans="1:39" x14ac:dyDescent="0.65">
      <c r="A148" s="30"/>
      <c r="B148" s="31"/>
      <c r="C148" s="31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31"/>
      <c r="V148" s="30"/>
      <c r="W148" s="30"/>
      <c r="X148" s="30"/>
      <c r="Y148" s="28"/>
      <c r="Z148" s="28"/>
      <c r="AA148" s="29"/>
      <c r="AB148" s="1"/>
      <c r="AC148" s="2"/>
      <c r="AD148" s="2"/>
    </row>
    <row r="149" spans="1:39" x14ac:dyDescent="0.65">
      <c r="A149" s="30"/>
      <c r="B149" s="31"/>
      <c r="C149" s="31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31"/>
      <c r="V149" s="30"/>
      <c r="W149" s="30"/>
      <c r="X149" s="30"/>
      <c r="Y149" s="28"/>
      <c r="Z149" s="28"/>
      <c r="AA149" s="29"/>
      <c r="AB149" s="1"/>
      <c r="AC149" s="2"/>
      <c r="AD149" s="2"/>
    </row>
    <row r="150" spans="1:39" ht="61.5" x14ac:dyDescent="0.85">
      <c r="A150" s="196" t="s">
        <v>306</v>
      </c>
      <c r="B150" s="196"/>
      <c r="C150" s="196"/>
      <c r="D150" s="196"/>
      <c r="E150" s="196"/>
      <c r="F150" s="196"/>
      <c r="G150" s="196"/>
      <c r="H150" s="140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32"/>
      <c r="V150" s="28"/>
      <c r="W150" s="28"/>
      <c r="X150" s="33"/>
      <c r="Y150" s="197" t="s">
        <v>300</v>
      </c>
      <c r="Z150" s="197"/>
      <c r="AA150" s="197"/>
      <c r="AB150" s="1"/>
      <c r="AC150" s="2"/>
      <c r="AD150" s="2"/>
    </row>
    <row r="151" spans="1:39" ht="61.5" x14ac:dyDescent="0.65">
      <c r="A151" s="196"/>
      <c r="B151" s="196"/>
      <c r="C151" s="196"/>
      <c r="D151" s="196"/>
      <c r="E151" s="196"/>
      <c r="F151" s="196"/>
      <c r="G151" s="196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32"/>
      <c r="V151" s="28"/>
      <c r="W151" s="28"/>
      <c r="X151" s="33"/>
      <c r="Y151" s="33"/>
      <c r="Z151" s="28"/>
      <c r="AA151" s="34"/>
      <c r="AB151" s="1"/>
      <c r="AC151" s="2"/>
      <c r="AD151" s="2"/>
    </row>
    <row r="187" spans="1:2" x14ac:dyDescent="0.65">
      <c r="A187" s="179" t="s">
        <v>454</v>
      </c>
      <c r="B187" s="179"/>
    </row>
    <row r="188" spans="1:2" x14ac:dyDescent="0.65">
      <c r="A188" s="179"/>
      <c r="B188" s="179"/>
    </row>
    <row r="202" ht="45.75" customHeight="1" x14ac:dyDescent="0.65"/>
    <row r="203" ht="409.5" customHeight="1" x14ac:dyDescent="0.65"/>
  </sheetData>
  <mergeCells count="1076">
    <mergeCell ref="C141:C142"/>
    <mergeCell ref="B141:B142"/>
    <mergeCell ref="A141:A142"/>
    <mergeCell ref="A136:A138"/>
    <mergeCell ref="Z141:Z142"/>
    <mergeCell ref="Y141:Y142"/>
    <mergeCell ref="X141:X142"/>
    <mergeCell ref="W141:W142"/>
    <mergeCell ref="V141:V142"/>
    <mergeCell ref="U141:U142"/>
    <mergeCell ref="T141:T142"/>
    <mergeCell ref="S141:S142"/>
    <mergeCell ref="R141:R142"/>
    <mergeCell ref="Q141:Q142"/>
    <mergeCell ref="P141:P142"/>
    <mergeCell ref="O141:O142"/>
    <mergeCell ref="N141:N142"/>
    <mergeCell ref="M141:M142"/>
    <mergeCell ref="L141:L142"/>
    <mergeCell ref="K141:K142"/>
    <mergeCell ref="J141:J142"/>
    <mergeCell ref="I141:I142"/>
    <mergeCell ref="H141:H142"/>
    <mergeCell ref="G141:G142"/>
    <mergeCell ref="F141:F142"/>
    <mergeCell ref="E141:E142"/>
    <mergeCell ref="D141:D142"/>
    <mergeCell ref="J136:J138"/>
    <mergeCell ref="I136:I138"/>
    <mergeCell ref="H136:H138"/>
    <mergeCell ref="G136:G138"/>
    <mergeCell ref="F136:F138"/>
    <mergeCell ref="E136:E138"/>
    <mergeCell ref="D136:D138"/>
    <mergeCell ref="C136:C138"/>
    <mergeCell ref="B136:B138"/>
    <mergeCell ref="Z136:Z138"/>
    <mergeCell ref="Y136:Y138"/>
    <mergeCell ref="X136:X138"/>
    <mergeCell ref="W136:W138"/>
    <mergeCell ref="V136:V138"/>
    <mergeCell ref="U136:U138"/>
    <mergeCell ref="T136:T138"/>
    <mergeCell ref="S136:S138"/>
    <mergeCell ref="R136:R138"/>
    <mergeCell ref="H134:H135"/>
    <mergeCell ref="G134:G135"/>
    <mergeCell ref="F134:F135"/>
    <mergeCell ref="E134:E135"/>
    <mergeCell ref="D134:D135"/>
    <mergeCell ref="C134:C135"/>
    <mergeCell ref="B134:B135"/>
    <mergeCell ref="Q136:Q138"/>
    <mergeCell ref="P136:P138"/>
    <mergeCell ref="O136:O138"/>
    <mergeCell ref="N136:N138"/>
    <mergeCell ref="M136:M138"/>
    <mergeCell ref="L136:L138"/>
    <mergeCell ref="K136:K138"/>
    <mergeCell ref="T134:T135"/>
    <mergeCell ref="S134:S135"/>
    <mergeCell ref="R134:R135"/>
    <mergeCell ref="A134:A135"/>
    <mergeCell ref="Z134:Z135"/>
    <mergeCell ref="Y134:Y135"/>
    <mergeCell ref="X134:X135"/>
    <mergeCell ref="W134:W135"/>
    <mergeCell ref="V134:V135"/>
    <mergeCell ref="U134:U135"/>
    <mergeCell ref="Q134:Q135"/>
    <mergeCell ref="P134:P135"/>
    <mergeCell ref="O134:O135"/>
    <mergeCell ref="N134:N135"/>
    <mergeCell ref="M134:M135"/>
    <mergeCell ref="L134:L135"/>
    <mergeCell ref="K134:K135"/>
    <mergeCell ref="J134:J135"/>
    <mergeCell ref="I134:I135"/>
    <mergeCell ref="H132:H133"/>
    <mergeCell ref="G132:G133"/>
    <mergeCell ref="F132:F133"/>
    <mergeCell ref="E132:E133"/>
    <mergeCell ref="D132:D133"/>
    <mergeCell ref="C132:C133"/>
    <mergeCell ref="B132:B133"/>
    <mergeCell ref="A132:A133"/>
    <mergeCell ref="Z132:Z133"/>
    <mergeCell ref="Y132:Y133"/>
    <mergeCell ref="X132:X133"/>
    <mergeCell ref="W132:W133"/>
    <mergeCell ref="V132:V133"/>
    <mergeCell ref="U132:U133"/>
    <mergeCell ref="Q132:Q133"/>
    <mergeCell ref="P132:P133"/>
    <mergeCell ref="K132:K133"/>
    <mergeCell ref="J132:J133"/>
    <mergeCell ref="I132:I133"/>
    <mergeCell ref="G130:G131"/>
    <mergeCell ref="F130:F131"/>
    <mergeCell ref="E130:E131"/>
    <mergeCell ref="D130:D131"/>
    <mergeCell ref="C130:C131"/>
    <mergeCell ref="B130:B131"/>
    <mergeCell ref="A130:A131"/>
    <mergeCell ref="Z130:Z131"/>
    <mergeCell ref="Y130:Y131"/>
    <mergeCell ref="X130:X131"/>
    <mergeCell ref="W130:W131"/>
    <mergeCell ref="V130:V131"/>
    <mergeCell ref="U130:U131"/>
    <mergeCell ref="P130:P131"/>
    <mergeCell ref="O130:O131"/>
    <mergeCell ref="N130:N131"/>
    <mergeCell ref="M130:M131"/>
    <mergeCell ref="L130:L131"/>
    <mergeCell ref="K130:K131"/>
    <mergeCell ref="J130:J131"/>
    <mergeCell ref="I130:I131"/>
    <mergeCell ref="H130:H131"/>
    <mergeCell ref="T130:T131"/>
    <mergeCell ref="S130:S131"/>
    <mergeCell ref="R130:R131"/>
    <mergeCell ref="T132:T133"/>
    <mergeCell ref="S132:S133"/>
    <mergeCell ref="R132:R133"/>
    <mergeCell ref="O132:O133"/>
    <mergeCell ref="D128:D129"/>
    <mergeCell ref="C128:C129"/>
    <mergeCell ref="A128:A129"/>
    <mergeCell ref="B128:B129"/>
    <mergeCell ref="Z128:Z129"/>
    <mergeCell ref="Y128:Y129"/>
    <mergeCell ref="X128:X129"/>
    <mergeCell ref="W128:W129"/>
    <mergeCell ref="V128:V129"/>
    <mergeCell ref="U128:U129"/>
    <mergeCell ref="F116:F118"/>
    <mergeCell ref="E116:E118"/>
    <mergeCell ref="D116:D118"/>
    <mergeCell ref="C116:C118"/>
    <mergeCell ref="B116:B118"/>
    <mergeCell ref="A116:A118"/>
    <mergeCell ref="Z116:Z118"/>
    <mergeCell ref="Y116:Y118"/>
    <mergeCell ref="T128:T129"/>
    <mergeCell ref="S128:S129"/>
    <mergeCell ref="R128:R129"/>
    <mergeCell ref="Q128:Q129"/>
    <mergeCell ref="P128:P129"/>
    <mergeCell ref="O128:O129"/>
    <mergeCell ref="N128:N129"/>
    <mergeCell ref="M128:M129"/>
    <mergeCell ref="L128:L129"/>
    <mergeCell ref="K128:K129"/>
    <mergeCell ref="J128:J129"/>
    <mergeCell ref="I128:I129"/>
    <mergeCell ref="H128:H129"/>
    <mergeCell ref="G128:G129"/>
    <mergeCell ref="F128:F129"/>
    <mergeCell ref="E128:E129"/>
    <mergeCell ref="X116:X118"/>
    <mergeCell ref="W116:W118"/>
    <mergeCell ref="V116:V118"/>
    <mergeCell ref="U116:U118"/>
    <mergeCell ref="T116:T118"/>
    <mergeCell ref="S116:S118"/>
    <mergeCell ref="R116:R118"/>
    <mergeCell ref="Q116:Q118"/>
    <mergeCell ref="P116:P118"/>
    <mergeCell ref="O116:O118"/>
    <mergeCell ref="N116:N118"/>
    <mergeCell ref="M116:M118"/>
    <mergeCell ref="L116:L118"/>
    <mergeCell ref="K116:K118"/>
    <mergeCell ref="J116:J118"/>
    <mergeCell ref="I116:I118"/>
    <mergeCell ref="H116:H118"/>
    <mergeCell ref="G116:G118"/>
    <mergeCell ref="L122:L123"/>
    <mergeCell ref="M122:M123"/>
    <mergeCell ref="N122:N123"/>
    <mergeCell ref="K111:K112"/>
    <mergeCell ref="J111:J112"/>
    <mergeCell ref="I111:I112"/>
    <mergeCell ref="H111:H112"/>
    <mergeCell ref="G111:G112"/>
    <mergeCell ref="F111:F112"/>
    <mergeCell ref="E111:E112"/>
    <mergeCell ref="D111:D112"/>
    <mergeCell ref="U111:U112"/>
    <mergeCell ref="T111:T112"/>
    <mergeCell ref="S111:S112"/>
    <mergeCell ref="R111:R112"/>
    <mergeCell ref="Q111:Q112"/>
    <mergeCell ref="P111:P112"/>
    <mergeCell ref="O111:O112"/>
    <mergeCell ref="N111:N112"/>
    <mergeCell ref="M111:M112"/>
    <mergeCell ref="Z111:Z112"/>
    <mergeCell ref="Y111:Y112"/>
    <mergeCell ref="X111:X112"/>
    <mergeCell ref="W111:W112"/>
    <mergeCell ref="V111:V112"/>
    <mergeCell ref="B106:B107"/>
    <mergeCell ref="A106:A107"/>
    <mergeCell ref="V108:V109"/>
    <mergeCell ref="U108:U109"/>
    <mergeCell ref="T108:T109"/>
    <mergeCell ref="S108:S109"/>
    <mergeCell ref="R108:R109"/>
    <mergeCell ref="Q108:Q109"/>
    <mergeCell ref="P108:P109"/>
    <mergeCell ref="O108:O109"/>
    <mergeCell ref="N108:N109"/>
    <mergeCell ref="M108:M109"/>
    <mergeCell ref="L108:L109"/>
    <mergeCell ref="K108:K109"/>
    <mergeCell ref="J108:J109"/>
    <mergeCell ref="I108:I109"/>
    <mergeCell ref="H108:H109"/>
    <mergeCell ref="G108:G109"/>
    <mergeCell ref="F108:F109"/>
    <mergeCell ref="E108:E109"/>
    <mergeCell ref="D108:D109"/>
    <mergeCell ref="C108:C109"/>
    <mergeCell ref="B108:B109"/>
    <mergeCell ref="C111:C112"/>
    <mergeCell ref="B111:B112"/>
    <mergeCell ref="A111:A112"/>
    <mergeCell ref="L111:L112"/>
    <mergeCell ref="A108:A109"/>
    <mergeCell ref="A99:A100"/>
    <mergeCell ref="Z99:Z100"/>
    <mergeCell ref="Y99:Y100"/>
    <mergeCell ref="X99:X100"/>
    <mergeCell ref="W99:W100"/>
    <mergeCell ref="V99:V100"/>
    <mergeCell ref="U99:U100"/>
    <mergeCell ref="T106:T107"/>
    <mergeCell ref="S106:S107"/>
    <mergeCell ref="R106:R107"/>
    <mergeCell ref="Q106:Q107"/>
    <mergeCell ref="P106:P107"/>
    <mergeCell ref="O106:O107"/>
    <mergeCell ref="N106:N107"/>
    <mergeCell ref="M106:M107"/>
    <mergeCell ref="L106:L107"/>
    <mergeCell ref="K106:K107"/>
    <mergeCell ref="J106:J107"/>
    <mergeCell ref="I106:I107"/>
    <mergeCell ref="H106:H107"/>
    <mergeCell ref="G106:G107"/>
    <mergeCell ref="F106:F107"/>
    <mergeCell ref="E106:E107"/>
    <mergeCell ref="D106:D107"/>
    <mergeCell ref="A101:A102"/>
    <mergeCell ref="Z108:Z109"/>
    <mergeCell ref="Y108:Y109"/>
    <mergeCell ref="X108:X109"/>
    <mergeCell ref="W108:W109"/>
    <mergeCell ref="J99:J100"/>
    <mergeCell ref="I99:I100"/>
    <mergeCell ref="H99:H100"/>
    <mergeCell ref="G99:G100"/>
    <mergeCell ref="F99:F100"/>
    <mergeCell ref="E99:E100"/>
    <mergeCell ref="K89:K90"/>
    <mergeCell ref="J89:J90"/>
    <mergeCell ref="I89:I90"/>
    <mergeCell ref="H89:H90"/>
    <mergeCell ref="G89:G90"/>
    <mergeCell ref="F89:F90"/>
    <mergeCell ref="E89:E90"/>
    <mergeCell ref="I96:I98"/>
    <mergeCell ref="T96:T98"/>
    <mergeCell ref="S96:S98"/>
    <mergeCell ref="R96:R98"/>
    <mergeCell ref="Q96:Q98"/>
    <mergeCell ref="P96:P98"/>
    <mergeCell ref="O96:O98"/>
    <mergeCell ref="N96:N98"/>
    <mergeCell ref="E96:E98"/>
    <mergeCell ref="B81:B82"/>
    <mergeCell ref="A81:A82"/>
    <mergeCell ref="Z81:Z82"/>
    <mergeCell ref="Y81:Y82"/>
    <mergeCell ref="X81:X82"/>
    <mergeCell ref="W81:W82"/>
    <mergeCell ref="V81:V82"/>
    <mergeCell ref="U81:U82"/>
    <mergeCell ref="B89:B90"/>
    <mergeCell ref="A89:A90"/>
    <mergeCell ref="Z89:Z90"/>
    <mergeCell ref="Y89:Y90"/>
    <mergeCell ref="X89:X90"/>
    <mergeCell ref="W89:W90"/>
    <mergeCell ref="V89:V90"/>
    <mergeCell ref="U89:U90"/>
    <mergeCell ref="D89:D90"/>
    <mergeCell ref="E57:E58"/>
    <mergeCell ref="F63:F64"/>
    <mergeCell ref="E63:E64"/>
    <mergeCell ref="O63:O64"/>
    <mergeCell ref="N63:N64"/>
    <mergeCell ref="M63:M64"/>
    <mergeCell ref="L63:L64"/>
    <mergeCell ref="K63:K64"/>
    <mergeCell ref="D63:D64"/>
    <mergeCell ref="C63:C64"/>
    <mergeCell ref="C89:C90"/>
    <mergeCell ref="T89:T90"/>
    <mergeCell ref="S89:S90"/>
    <mergeCell ref="R89:R90"/>
    <mergeCell ref="Q89:Q90"/>
    <mergeCell ref="P89:P90"/>
    <mergeCell ref="O89:O90"/>
    <mergeCell ref="N89:N90"/>
    <mergeCell ref="M89:M90"/>
    <mergeCell ref="L89:L90"/>
    <mergeCell ref="D81:D82"/>
    <mergeCell ref="C81:C82"/>
    <mergeCell ref="T63:T64"/>
    <mergeCell ref="F59:F62"/>
    <mergeCell ref="E59:E62"/>
    <mergeCell ref="D59:D62"/>
    <mergeCell ref="C59:C62"/>
    <mergeCell ref="B59:B62"/>
    <mergeCell ref="A59:A62"/>
    <mergeCell ref="Z59:Z62"/>
    <mergeCell ref="Y59:Y62"/>
    <mergeCell ref="X59:X62"/>
    <mergeCell ref="W59:W62"/>
    <mergeCell ref="V59:V62"/>
    <mergeCell ref="U59:U62"/>
    <mergeCell ref="T59:T62"/>
    <mergeCell ref="S59:S62"/>
    <mergeCell ref="R59:R62"/>
    <mergeCell ref="K59:K62"/>
    <mergeCell ref="J59:J62"/>
    <mergeCell ref="I59:I62"/>
    <mergeCell ref="H59:H62"/>
    <mergeCell ref="G59:G62"/>
    <mergeCell ref="A63:A64"/>
    <mergeCell ref="Z63:Z64"/>
    <mergeCell ref="Y63:Y64"/>
    <mergeCell ref="X63:X64"/>
    <mergeCell ref="W63:W64"/>
    <mergeCell ref="V63:V64"/>
    <mergeCell ref="U63:U64"/>
    <mergeCell ref="D54:D55"/>
    <mergeCell ref="C54:C55"/>
    <mergeCell ref="B54:B55"/>
    <mergeCell ref="A54:A55"/>
    <mergeCell ref="Z54:Z55"/>
    <mergeCell ref="Y54:Y55"/>
    <mergeCell ref="X54:X55"/>
    <mergeCell ref="W54:W55"/>
    <mergeCell ref="M54:M55"/>
    <mergeCell ref="L54:L55"/>
    <mergeCell ref="K54:K55"/>
    <mergeCell ref="J54:J55"/>
    <mergeCell ref="I54:I55"/>
    <mergeCell ref="H54:H55"/>
    <mergeCell ref="G54:G55"/>
    <mergeCell ref="F54:F55"/>
    <mergeCell ref="E54:E55"/>
    <mergeCell ref="V54:V55"/>
    <mergeCell ref="U54:U55"/>
    <mergeCell ref="T54:T55"/>
    <mergeCell ref="S54:S55"/>
    <mergeCell ref="R54:R55"/>
    <mergeCell ref="Q54:Q55"/>
    <mergeCell ref="P54:P55"/>
    <mergeCell ref="O54:O55"/>
    <mergeCell ref="U42:U44"/>
    <mergeCell ref="T42:T44"/>
    <mergeCell ref="S42:S44"/>
    <mergeCell ref="R42:R44"/>
    <mergeCell ref="Q42:Q44"/>
    <mergeCell ref="P42:P44"/>
    <mergeCell ref="O42:O44"/>
    <mergeCell ref="N42:N44"/>
    <mergeCell ref="M42:M44"/>
    <mergeCell ref="L42:L44"/>
    <mergeCell ref="K42:K44"/>
    <mergeCell ref="J42:J44"/>
    <mergeCell ref="I42:I44"/>
    <mergeCell ref="H42:H44"/>
    <mergeCell ref="G42:G44"/>
    <mergeCell ref="F42:F44"/>
    <mergeCell ref="E42:E44"/>
    <mergeCell ref="Z33:Z34"/>
    <mergeCell ref="Y33:Y34"/>
    <mergeCell ref="X33:X34"/>
    <mergeCell ref="W33:W34"/>
    <mergeCell ref="V33:V34"/>
    <mergeCell ref="U33:U34"/>
    <mergeCell ref="T33:T34"/>
    <mergeCell ref="S33:S34"/>
    <mergeCell ref="R33:R34"/>
    <mergeCell ref="I33:I34"/>
    <mergeCell ref="H33:H34"/>
    <mergeCell ref="G33:G34"/>
    <mergeCell ref="F33:F34"/>
    <mergeCell ref="E33:E34"/>
    <mergeCell ref="D33:D34"/>
    <mergeCell ref="C33:C34"/>
    <mergeCell ref="B33:B34"/>
    <mergeCell ref="Z30:Z31"/>
    <mergeCell ref="Y30:Y31"/>
    <mergeCell ref="X30:X31"/>
    <mergeCell ref="W30:W31"/>
    <mergeCell ref="V30:V31"/>
    <mergeCell ref="U30:U31"/>
    <mergeCell ref="T30:T31"/>
    <mergeCell ref="S30:S31"/>
    <mergeCell ref="R30:R31"/>
    <mergeCell ref="I30:I31"/>
    <mergeCell ref="H30:H31"/>
    <mergeCell ref="G30:G31"/>
    <mergeCell ref="F30:F31"/>
    <mergeCell ref="E30:E31"/>
    <mergeCell ref="D30:D31"/>
    <mergeCell ref="C30:C31"/>
    <mergeCell ref="B30:B31"/>
    <mergeCell ref="Q30:Q31"/>
    <mergeCell ref="P30:P31"/>
    <mergeCell ref="O30:O31"/>
    <mergeCell ref="N30:N31"/>
    <mergeCell ref="M30:M31"/>
    <mergeCell ref="L30:L31"/>
    <mergeCell ref="K30:K31"/>
    <mergeCell ref="J30:J31"/>
    <mergeCell ref="A1:AA1"/>
    <mergeCell ref="A2:AA2"/>
    <mergeCell ref="A3:AA3"/>
    <mergeCell ref="A4:AA4"/>
    <mergeCell ref="A5:AA5"/>
    <mergeCell ref="A147:X147"/>
    <mergeCell ref="A150:G151"/>
    <mergeCell ref="Y150:AA150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I8:L8"/>
    <mergeCell ref="N7:S8"/>
    <mergeCell ref="T7:T9"/>
    <mergeCell ref="A13:A14"/>
    <mergeCell ref="B13:B14"/>
    <mergeCell ref="C13:C14"/>
    <mergeCell ref="D13:D14"/>
    <mergeCell ref="E13:E14"/>
    <mergeCell ref="T13:T14"/>
    <mergeCell ref="S13:S14"/>
    <mergeCell ref="R13:R14"/>
    <mergeCell ref="Q13:Q14"/>
    <mergeCell ref="P13:P14"/>
    <mergeCell ref="O13:O14"/>
    <mergeCell ref="N13:N14"/>
    <mergeCell ref="M13:M14"/>
    <mergeCell ref="L13:L14"/>
    <mergeCell ref="K13:K14"/>
    <mergeCell ref="J13:J14"/>
    <mergeCell ref="I13:I14"/>
    <mergeCell ref="H13:H14"/>
    <mergeCell ref="G13:G14"/>
    <mergeCell ref="F13:F14"/>
    <mergeCell ref="AA13:AA14"/>
    <mergeCell ref="Z13:Z14"/>
    <mergeCell ref="Y13:Y14"/>
    <mergeCell ref="X13:X14"/>
    <mergeCell ref="W13:W14"/>
    <mergeCell ref="V13:V14"/>
    <mergeCell ref="U13:U14"/>
    <mergeCell ref="A16:A17"/>
    <mergeCell ref="J16:J17"/>
    <mergeCell ref="I16:I17"/>
    <mergeCell ref="H16:H17"/>
    <mergeCell ref="G16:G17"/>
    <mergeCell ref="F16:F17"/>
    <mergeCell ref="O16:O17"/>
    <mergeCell ref="N16:N17"/>
    <mergeCell ref="M16:M17"/>
    <mergeCell ref="L16:L17"/>
    <mergeCell ref="K16:K17"/>
    <mergeCell ref="AA16:AA17"/>
    <mergeCell ref="Z16:Z17"/>
    <mergeCell ref="Y16:Y17"/>
    <mergeCell ref="X16:X17"/>
    <mergeCell ref="W16:W17"/>
    <mergeCell ref="E16:E17"/>
    <mergeCell ref="D16:D17"/>
    <mergeCell ref="C16:C17"/>
    <mergeCell ref="B16:B17"/>
    <mergeCell ref="T16:T17"/>
    <mergeCell ref="S16:S17"/>
    <mergeCell ref="R16:R17"/>
    <mergeCell ref="Q16:Q17"/>
    <mergeCell ref="P16:P17"/>
    <mergeCell ref="I18:I19"/>
    <mergeCell ref="H18:H19"/>
    <mergeCell ref="Q18:Q19"/>
    <mergeCell ref="P18:P19"/>
    <mergeCell ref="O18:O19"/>
    <mergeCell ref="N18:N19"/>
    <mergeCell ref="M18:M19"/>
    <mergeCell ref="B18:B19"/>
    <mergeCell ref="V16:V17"/>
    <mergeCell ref="U16:U17"/>
    <mergeCell ref="T18:T19"/>
    <mergeCell ref="S18:S19"/>
    <mergeCell ref="R18:R19"/>
    <mergeCell ref="U21:U22"/>
    <mergeCell ref="AA21:AA22"/>
    <mergeCell ref="Z21:Z22"/>
    <mergeCell ref="Y21:Y22"/>
    <mergeCell ref="X21:X22"/>
    <mergeCell ref="W21:W22"/>
    <mergeCell ref="V21:V22"/>
    <mergeCell ref="A18:A19"/>
    <mergeCell ref="AA18:AA19"/>
    <mergeCell ref="Z18:Z19"/>
    <mergeCell ref="Y18:Y19"/>
    <mergeCell ref="X18:X19"/>
    <mergeCell ref="W18:W19"/>
    <mergeCell ref="V18:V19"/>
    <mergeCell ref="U18:U19"/>
    <mergeCell ref="G18:G19"/>
    <mergeCell ref="F18:F19"/>
    <mergeCell ref="E18:E19"/>
    <mergeCell ref="D18:D19"/>
    <mergeCell ref="C18:C19"/>
    <mergeCell ref="L18:L19"/>
    <mergeCell ref="K18:K19"/>
    <mergeCell ref="J18:J19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A46:A47"/>
    <mergeCell ref="J46:J47"/>
    <mergeCell ref="I46:I47"/>
    <mergeCell ref="H46:H47"/>
    <mergeCell ref="G46:G47"/>
    <mergeCell ref="F46:F47"/>
    <mergeCell ref="O46:O47"/>
    <mergeCell ref="N46:N47"/>
    <mergeCell ref="M46:M47"/>
    <mergeCell ref="L46:L47"/>
    <mergeCell ref="K46:K47"/>
    <mergeCell ref="E46:E47"/>
    <mergeCell ref="D46:D47"/>
    <mergeCell ref="C46:C47"/>
    <mergeCell ref="B46:B47"/>
    <mergeCell ref="O25:O26"/>
    <mergeCell ref="N25:N26"/>
    <mergeCell ref="M25:M26"/>
    <mergeCell ref="L25:L26"/>
    <mergeCell ref="K25:K26"/>
    <mergeCell ref="A33:A34"/>
    <mergeCell ref="O33:O34"/>
    <mergeCell ref="N33:N34"/>
    <mergeCell ref="M33:M34"/>
    <mergeCell ref="L33:L34"/>
    <mergeCell ref="K33:K34"/>
    <mergeCell ref="J33:J34"/>
    <mergeCell ref="A30:A31"/>
    <mergeCell ref="B42:B44"/>
    <mergeCell ref="A42:A44"/>
    <mergeCell ref="R52:R53"/>
    <mergeCell ref="S52:S53"/>
    <mergeCell ref="T52:T53"/>
    <mergeCell ref="J52:J53"/>
    <mergeCell ref="K52:K53"/>
    <mergeCell ref="L52:L53"/>
    <mergeCell ref="G52:G53"/>
    <mergeCell ref="H52:H53"/>
    <mergeCell ref="E21:E22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O21:O22"/>
    <mergeCell ref="T25:T26"/>
    <mergeCell ref="Q33:Q34"/>
    <mergeCell ref="P33:P34"/>
    <mergeCell ref="R46:R47"/>
    <mergeCell ref="Q46:Q47"/>
    <mergeCell ref="P46:P47"/>
    <mergeCell ref="O49:O50"/>
    <mergeCell ref="P49:P50"/>
    <mergeCell ref="Q49:Q50"/>
    <mergeCell ref="A52:A53"/>
    <mergeCell ref="B52:B53"/>
    <mergeCell ref="C52:C53"/>
    <mergeCell ref="D52:D53"/>
    <mergeCell ref="A49:A50"/>
    <mergeCell ref="B49:B50"/>
    <mergeCell ref="C49:C50"/>
    <mergeCell ref="D49:D50"/>
    <mergeCell ref="E49:E50"/>
    <mergeCell ref="K49:K50"/>
    <mergeCell ref="L49:L50"/>
    <mergeCell ref="M49:M50"/>
    <mergeCell ref="N49:N50"/>
    <mergeCell ref="F49:F50"/>
    <mergeCell ref="G49:G50"/>
    <mergeCell ref="H49:H50"/>
    <mergeCell ref="I49:I50"/>
    <mergeCell ref="J49:J50"/>
    <mergeCell ref="E52:E53"/>
    <mergeCell ref="F52:F53"/>
    <mergeCell ref="I52:I53"/>
    <mergeCell ref="N54:N55"/>
    <mergeCell ref="T46:T47"/>
    <mergeCell ref="S46:S47"/>
    <mergeCell ref="N87:N88"/>
    <mergeCell ref="M87:M88"/>
    <mergeCell ref="L87:L88"/>
    <mergeCell ref="K87:K88"/>
    <mergeCell ref="V57:V58"/>
    <mergeCell ref="U57:U58"/>
    <mergeCell ref="O57:O58"/>
    <mergeCell ref="N57:N58"/>
    <mergeCell ref="M57:M58"/>
    <mergeCell ref="Q59:Q62"/>
    <mergeCell ref="P59:P62"/>
    <mergeCell ref="O59:O62"/>
    <mergeCell ref="N59:N62"/>
    <mergeCell ref="M59:M62"/>
    <mergeCell ref="L59:L62"/>
    <mergeCell ref="M52:M53"/>
    <mergeCell ref="N52:N53"/>
    <mergeCell ref="O52:O53"/>
    <mergeCell ref="P52:P53"/>
    <mergeCell ref="Q52:Q53"/>
    <mergeCell ref="V46:V47"/>
    <mergeCell ref="U46:U47"/>
    <mergeCell ref="V52:V53"/>
    <mergeCell ref="U52:U53"/>
    <mergeCell ref="U49:U50"/>
    <mergeCell ref="R49:R50"/>
    <mergeCell ref="S49:S50"/>
    <mergeCell ref="T49:T50"/>
    <mergeCell ref="B63:B64"/>
    <mergeCell ref="S63:S64"/>
    <mergeCell ref="R63:R64"/>
    <mergeCell ref="Q63:Q64"/>
    <mergeCell ref="P63:P64"/>
    <mergeCell ref="L57:L58"/>
    <mergeCell ref="K57:K58"/>
    <mergeCell ref="T57:T58"/>
    <mergeCell ref="S57:S58"/>
    <mergeCell ref="R57:R58"/>
    <mergeCell ref="Q57:Q58"/>
    <mergeCell ref="P57:P58"/>
    <mergeCell ref="T81:T82"/>
    <mergeCell ref="S81:S82"/>
    <mergeCell ref="R81:R82"/>
    <mergeCell ref="Q81:Q82"/>
    <mergeCell ref="P81:P82"/>
    <mergeCell ref="O81:O82"/>
    <mergeCell ref="N81:N82"/>
    <mergeCell ref="M81:M82"/>
    <mergeCell ref="L81:L82"/>
    <mergeCell ref="K81:K82"/>
    <mergeCell ref="J81:J82"/>
    <mergeCell ref="I81:I82"/>
    <mergeCell ref="H81:H82"/>
    <mergeCell ref="G81:G82"/>
    <mergeCell ref="F81:F82"/>
    <mergeCell ref="E81:E82"/>
    <mergeCell ref="J63:J64"/>
    <mergeCell ref="I63:I64"/>
    <mergeCell ref="H63:H64"/>
    <mergeCell ref="G63:G64"/>
    <mergeCell ref="D96:D98"/>
    <mergeCell ref="AA87:AA88"/>
    <mergeCell ref="Z87:Z88"/>
    <mergeCell ref="Y87:Y88"/>
    <mergeCell ref="X87:X88"/>
    <mergeCell ref="W87:W88"/>
    <mergeCell ref="E87:E88"/>
    <mergeCell ref="D87:D88"/>
    <mergeCell ref="C87:C88"/>
    <mergeCell ref="B87:B88"/>
    <mergeCell ref="T87:T88"/>
    <mergeCell ref="S87:S88"/>
    <mergeCell ref="R87:R88"/>
    <mergeCell ref="Q87:Q88"/>
    <mergeCell ref="P87:P88"/>
    <mergeCell ref="V87:V88"/>
    <mergeCell ref="U87:U88"/>
    <mergeCell ref="J87:J88"/>
    <mergeCell ref="I87:I88"/>
    <mergeCell ref="H87:H88"/>
    <mergeCell ref="V96:V98"/>
    <mergeCell ref="H96:H98"/>
    <mergeCell ref="G96:G98"/>
    <mergeCell ref="F96:F98"/>
    <mergeCell ref="M96:M98"/>
    <mergeCell ref="L96:L98"/>
    <mergeCell ref="K96:K98"/>
    <mergeCell ref="J96:J98"/>
    <mergeCell ref="G87:G88"/>
    <mergeCell ref="F87:F88"/>
    <mergeCell ref="O87:O88"/>
    <mergeCell ref="Z96:Z98"/>
    <mergeCell ref="T101:T102"/>
    <mergeCell ref="O101:O102"/>
    <mergeCell ref="P101:P102"/>
    <mergeCell ref="Q101:Q102"/>
    <mergeCell ref="R101:R102"/>
    <mergeCell ref="S101:S102"/>
    <mergeCell ref="J101:J102"/>
    <mergeCell ref="K101:K102"/>
    <mergeCell ref="L101:L102"/>
    <mergeCell ref="M101:M102"/>
    <mergeCell ref="N101:N102"/>
    <mergeCell ref="D99:D100"/>
    <mergeCell ref="C99:C100"/>
    <mergeCell ref="B99:B100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T99:T100"/>
    <mergeCell ref="S99:S100"/>
    <mergeCell ref="R99:R100"/>
    <mergeCell ref="Q99:Q100"/>
    <mergeCell ref="P99:P100"/>
    <mergeCell ref="O99:O100"/>
    <mergeCell ref="N99:N100"/>
    <mergeCell ref="M99:M100"/>
    <mergeCell ref="L99:L100"/>
    <mergeCell ref="K99:K100"/>
    <mergeCell ref="AA113:AA114"/>
    <mergeCell ref="Z113:Z114"/>
    <mergeCell ref="Y113:Y114"/>
    <mergeCell ref="X113:X114"/>
    <mergeCell ref="W113:W114"/>
    <mergeCell ref="E113:E114"/>
    <mergeCell ref="D113:D114"/>
    <mergeCell ref="C113:C114"/>
    <mergeCell ref="B113:B114"/>
    <mergeCell ref="T113:T114"/>
    <mergeCell ref="S113:S114"/>
    <mergeCell ref="R113:R114"/>
    <mergeCell ref="Q113:Q114"/>
    <mergeCell ref="P113:P114"/>
    <mergeCell ref="V113:V114"/>
    <mergeCell ref="U113:U114"/>
    <mergeCell ref="J113:J114"/>
    <mergeCell ref="I113:I114"/>
    <mergeCell ref="H113:H114"/>
    <mergeCell ref="G113:G114"/>
    <mergeCell ref="F113:F114"/>
    <mergeCell ref="O113:O114"/>
    <mergeCell ref="N113:N114"/>
    <mergeCell ref="M113:M114"/>
    <mergeCell ref="N132:N133"/>
    <mergeCell ref="M132:M133"/>
    <mergeCell ref="Q139:Q140"/>
    <mergeCell ref="P139:P140"/>
    <mergeCell ref="O139:O140"/>
    <mergeCell ref="N139:N140"/>
    <mergeCell ref="M139:M140"/>
    <mergeCell ref="J122:J123"/>
    <mergeCell ref="B143:B144"/>
    <mergeCell ref="A143:A144"/>
    <mergeCell ref="AA143:AA144"/>
    <mergeCell ref="Z143:Z144"/>
    <mergeCell ref="Y143:Y144"/>
    <mergeCell ref="X143:X144"/>
    <mergeCell ref="W143:W144"/>
    <mergeCell ref="V143:V144"/>
    <mergeCell ref="U143:U144"/>
    <mergeCell ref="G143:G144"/>
    <mergeCell ref="F143:F144"/>
    <mergeCell ref="E143:E144"/>
    <mergeCell ref="D143:D144"/>
    <mergeCell ref="C143:C144"/>
    <mergeCell ref="L143:L144"/>
    <mergeCell ref="K143:K144"/>
    <mergeCell ref="J143:J144"/>
    <mergeCell ref="I143:I144"/>
    <mergeCell ref="H143:H144"/>
    <mergeCell ref="Q143:Q144"/>
    <mergeCell ref="P143:P144"/>
    <mergeCell ref="O143:O144"/>
    <mergeCell ref="N143:N144"/>
    <mergeCell ref="M143:M144"/>
    <mergeCell ref="T143:T144"/>
    <mergeCell ref="S143:S144"/>
    <mergeCell ref="R143:R144"/>
    <mergeCell ref="T122:T123"/>
    <mergeCell ref="U122:U123"/>
    <mergeCell ref="V122:V123"/>
    <mergeCell ref="T139:T140"/>
    <mergeCell ref="AA122:AA123"/>
    <mergeCell ref="O122:O123"/>
    <mergeCell ref="P122:P123"/>
    <mergeCell ref="Q122:Q123"/>
    <mergeCell ref="R122:R123"/>
    <mergeCell ref="S122:S123"/>
    <mergeCell ref="W122:W123"/>
    <mergeCell ref="X122:X123"/>
    <mergeCell ref="Y122:Y123"/>
    <mergeCell ref="Z122:Z123"/>
    <mergeCell ref="AA136:AA137"/>
    <mergeCell ref="Q130:Q131"/>
    <mergeCell ref="AA139:AA140"/>
    <mergeCell ref="Z139:Z140"/>
    <mergeCell ref="Y139:Y140"/>
    <mergeCell ref="X139:X140"/>
    <mergeCell ref="W139:W140"/>
    <mergeCell ref="V139:V140"/>
    <mergeCell ref="U139:U140"/>
    <mergeCell ref="L132:L133"/>
    <mergeCell ref="V25:V26"/>
    <mergeCell ref="U25:U26"/>
    <mergeCell ref="T28:T29"/>
    <mergeCell ref="S28:S29"/>
    <mergeCell ref="R28:R29"/>
    <mergeCell ref="P28:P29"/>
    <mergeCell ref="O28:O29"/>
    <mergeCell ref="N28:N29"/>
    <mergeCell ref="M28:M29"/>
    <mergeCell ref="S25:S26"/>
    <mergeCell ref="R25:R26"/>
    <mergeCell ref="Q25:Q26"/>
    <mergeCell ref="P25:P26"/>
    <mergeCell ref="AA25:AA26"/>
    <mergeCell ref="Z25:Z26"/>
    <mergeCell ref="Y25:Y26"/>
    <mergeCell ref="Q38:Q39"/>
    <mergeCell ref="P38:P39"/>
    <mergeCell ref="O38:O39"/>
    <mergeCell ref="O35:O36"/>
    <mergeCell ref="N35:N36"/>
    <mergeCell ref="M35:M36"/>
    <mergeCell ref="L35:L36"/>
    <mergeCell ref="U101:U102"/>
    <mergeCell ref="AA101:AA102"/>
    <mergeCell ref="Z101:Z102"/>
    <mergeCell ref="Y101:Y102"/>
    <mergeCell ref="X101:X102"/>
    <mergeCell ref="W101:W102"/>
    <mergeCell ref="V101:V102"/>
    <mergeCell ref="AA96:AA98"/>
    <mergeCell ref="G139:G140"/>
    <mergeCell ref="F139:F140"/>
    <mergeCell ref="E139:E140"/>
    <mergeCell ref="D139:D140"/>
    <mergeCell ref="C139:C140"/>
    <mergeCell ref="L139:L140"/>
    <mergeCell ref="K139:K140"/>
    <mergeCell ref="J139:J140"/>
    <mergeCell ref="I139:I140"/>
    <mergeCell ref="H139:H140"/>
    <mergeCell ref="S139:S140"/>
    <mergeCell ref="R139:R140"/>
    <mergeCell ref="B25:B26"/>
    <mergeCell ref="A25:A26"/>
    <mergeCell ref="J25:J26"/>
    <mergeCell ref="I25:I26"/>
    <mergeCell ref="H25:H26"/>
    <mergeCell ref="G25:G26"/>
    <mergeCell ref="F25:F26"/>
    <mergeCell ref="B35:B36"/>
    <mergeCell ref="A35:A36"/>
    <mergeCell ref="J35:J36"/>
    <mergeCell ref="I35:I36"/>
    <mergeCell ref="H35:H36"/>
    <mergeCell ref="G35:G36"/>
    <mergeCell ref="F35:F36"/>
    <mergeCell ref="A122:A123"/>
    <mergeCell ref="B122:B123"/>
    <mergeCell ref="C122:C123"/>
    <mergeCell ref="D122:D123"/>
    <mergeCell ref="E122:E123"/>
    <mergeCell ref="A113:A114"/>
    <mergeCell ref="C106:C107"/>
    <mergeCell ref="C96:C98"/>
    <mergeCell ref="B96:B98"/>
    <mergeCell ref="A96:A98"/>
    <mergeCell ref="A87:A88"/>
    <mergeCell ref="D57:D58"/>
    <mergeCell ref="C57:C58"/>
    <mergeCell ref="B57:B58"/>
    <mergeCell ref="A57:A58"/>
    <mergeCell ref="J57:J58"/>
    <mergeCell ref="I57:I58"/>
    <mergeCell ref="H57:H58"/>
    <mergeCell ref="B28:B29"/>
    <mergeCell ref="A28:A29"/>
    <mergeCell ref="AA28:AA29"/>
    <mergeCell ref="Z28:Z29"/>
    <mergeCell ref="Y28:Y29"/>
    <mergeCell ref="X28:X29"/>
    <mergeCell ref="W28:W29"/>
    <mergeCell ref="V28:V29"/>
    <mergeCell ref="U28:U29"/>
    <mergeCell ref="G28:G29"/>
    <mergeCell ref="F28:F29"/>
    <mergeCell ref="E28:E29"/>
    <mergeCell ref="D28:D29"/>
    <mergeCell ref="C28:C29"/>
    <mergeCell ref="L28:L29"/>
    <mergeCell ref="K28:K29"/>
    <mergeCell ref="J28:J29"/>
    <mergeCell ref="I28:I29"/>
    <mergeCell ref="H28:H29"/>
    <mergeCell ref="Q28:Q29"/>
    <mergeCell ref="T35:T36"/>
    <mergeCell ref="S35:S36"/>
    <mergeCell ref="R35:R36"/>
    <mergeCell ref="Q35:Q36"/>
    <mergeCell ref="P35:P36"/>
    <mergeCell ref="E35:E36"/>
    <mergeCell ref="D35:D36"/>
    <mergeCell ref="C35:C36"/>
    <mergeCell ref="X25:X26"/>
    <mergeCell ref="W25:W26"/>
    <mergeCell ref="E25:E26"/>
    <mergeCell ref="D25:D26"/>
    <mergeCell ref="C25:C26"/>
    <mergeCell ref="T40:T41"/>
    <mergeCell ref="S40:S41"/>
    <mergeCell ref="R40:R41"/>
    <mergeCell ref="Q40:Q41"/>
    <mergeCell ref="P40:P41"/>
    <mergeCell ref="C40:C41"/>
    <mergeCell ref="B40:B41"/>
    <mergeCell ref="V35:V36"/>
    <mergeCell ref="U35:U36"/>
    <mergeCell ref="T38:T39"/>
    <mergeCell ref="S38:S39"/>
    <mergeCell ref="R38:R39"/>
    <mergeCell ref="AA35:AA36"/>
    <mergeCell ref="Z35:Z36"/>
    <mergeCell ref="Y35:Y36"/>
    <mergeCell ref="X35:X36"/>
    <mergeCell ref="W35:W36"/>
    <mergeCell ref="B38:B39"/>
    <mergeCell ref="AA38:AA39"/>
    <mergeCell ref="Z38:Z39"/>
    <mergeCell ref="Y38:Y39"/>
    <mergeCell ref="X38:X39"/>
    <mergeCell ref="W38:W39"/>
    <mergeCell ref="V38:V39"/>
    <mergeCell ref="U38:U39"/>
    <mergeCell ref="G38:G39"/>
    <mergeCell ref="F38:F39"/>
    <mergeCell ref="E38:E39"/>
    <mergeCell ref="D38:D39"/>
    <mergeCell ref="C38:C39"/>
    <mergeCell ref="L38:L39"/>
    <mergeCell ref="K38:K39"/>
    <mergeCell ref="AA40:AA41"/>
    <mergeCell ref="Z40:Z41"/>
    <mergeCell ref="Y40:Y41"/>
    <mergeCell ref="X40:X41"/>
    <mergeCell ref="W40:W41"/>
    <mergeCell ref="K35:K36"/>
    <mergeCell ref="B139:B140"/>
    <mergeCell ref="K122:K123"/>
    <mergeCell ref="N38:N39"/>
    <mergeCell ref="M38:M39"/>
    <mergeCell ref="A40:A41"/>
    <mergeCell ref="J40:J41"/>
    <mergeCell ref="I40:I41"/>
    <mergeCell ref="H40:H41"/>
    <mergeCell ref="G40:G41"/>
    <mergeCell ref="F40:F41"/>
    <mergeCell ref="O40:O41"/>
    <mergeCell ref="N40:N41"/>
    <mergeCell ref="M40:M41"/>
    <mergeCell ref="L40:L41"/>
    <mergeCell ref="K40:K41"/>
    <mergeCell ref="E40:E41"/>
    <mergeCell ref="D40:D41"/>
    <mergeCell ref="A38:A39"/>
    <mergeCell ref="J38:J39"/>
    <mergeCell ref="I38:I39"/>
    <mergeCell ref="H38:H39"/>
    <mergeCell ref="L113:L114"/>
    <mergeCell ref="K113:K114"/>
    <mergeCell ref="A139:A140"/>
    <mergeCell ref="G57:G58"/>
    <mergeCell ref="F57:F58"/>
    <mergeCell ref="D42:D44"/>
    <mergeCell ref="C42:C44"/>
    <mergeCell ref="F122:F123"/>
    <mergeCell ref="G122:G123"/>
    <mergeCell ref="H122:H123"/>
    <mergeCell ref="I122:I123"/>
    <mergeCell ref="Y96:Y98"/>
    <mergeCell ref="X96:X98"/>
    <mergeCell ref="W96:W98"/>
    <mergeCell ref="V40:V41"/>
    <mergeCell ref="U40:U41"/>
    <mergeCell ref="AA57:AA58"/>
    <mergeCell ref="Z57:Z58"/>
    <mergeCell ref="Y57:Y58"/>
    <mergeCell ref="X57:X58"/>
    <mergeCell ref="W57:W58"/>
    <mergeCell ref="AA46:AA47"/>
    <mergeCell ref="U96:U98"/>
    <mergeCell ref="AA49:AA50"/>
    <mergeCell ref="AA52:AA53"/>
    <mergeCell ref="Z52:Z53"/>
    <mergeCell ref="Y52:Y53"/>
    <mergeCell ref="X52:X53"/>
    <mergeCell ref="V49:V50"/>
    <mergeCell ref="Z46:Z47"/>
    <mergeCell ref="Y46:Y47"/>
    <mergeCell ref="X46:X47"/>
    <mergeCell ref="W46:W47"/>
    <mergeCell ref="W52:W53"/>
    <mergeCell ref="W49:W50"/>
    <mergeCell ref="X49:X50"/>
    <mergeCell ref="Y49:Y50"/>
    <mergeCell ref="Z49:Z50"/>
    <mergeCell ref="Z42:Z44"/>
    <mergeCell ref="Y42:Y44"/>
    <mergeCell ref="X42:X44"/>
    <mergeCell ref="W42:W44"/>
    <mergeCell ref="V42:V44"/>
    <mergeCell ref="A187:B188"/>
    <mergeCell ref="Z145:Z146"/>
    <mergeCell ref="Y145:Y146"/>
    <mergeCell ref="X145:X146"/>
    <mergeCell ref="W145:W146"/>
    <mergeCell ref="V145:V146"/>
    <mergeCell ref="U145:U146"/>
    <mergeCell ref="T145:T146"/>
    <mergeCell ref="S145:S146"/>
    <mergeCell ref="R145:R146"/>
    <mergeCell ref="F145:F146"/>
    <mergeCell ref="E145:E146"/>
    <mergeCell ref="D145:D146"/>
    <mergeCell ref="C145:C146"/>
    <mergeCell ref="B145:B146"/>
    <mergeCell ref="A145:A146"/>
    <mergeCell ref="O145:O146"/>
    <mergeCell ref="N145:N146"/>
    <mergeCell ref="M145:M146"/>
    <mergeCell ref="L145:L146"/>
    <mergeCell ref="K145:K146"/>
    <mergeCell ref="J145:J146"/>
    <mergeCell ref="I145:I146"/>
    <mergeCell ref="H145:H146"/>
    <mergeCell ref="G145:G146"/>
    <mergeCell ref="Q145:Q146"/>
    <mergeCell ref="P145:P146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zoomScale="80" zoomScaleNormal="100" zoomScaleSheetLayoutView="80" workbookViewId="0">
      <selection activeCell="B10" sqref="B10"/>
    </sheetView>
  </sheetViews>
  <sheetFormatPr defaultRowHeight="15" x14ac:dyDescent="0.25"/>
  <cols>
    <col min="1" max="1" width="9.140625" style="123"/>
    <col min="2" max="2" width="30.85546875" style="123" customWidth="1"/>
    <col min="3" max="5" width="9.140625" style="123"/>
    <col min="6" max="6" width="14.85546875" style="123" customWidth="1"/>
    <col min="7" max="7" width="25.140625" style="123" customWidth="1"/>
    <col min="8" max="16384" width="9.140625" style="123"/>
  </cols>
  <sheetData>
    <row r="1" spans="1:7" ht="18.75" x14ac:dyDescent="0.3">
      <c r="A1" s="208" t="s">
        <v>153</v>
      </c>
      <c r="B1" s="208"/>
      <c r="C1" s="208"/>
      <c r="D1" s="208"/>
      <c r="E1" s="208"/>
      <c r="F1" s="208"/>
      <c r="G1" s="208"/>
    </row>
    <row r="2" spans="1:7" ht="18.75" x14ac:dyDescent="0.3">
      <c r="A2" s="208" t="s">
        <v>154</v>
      </c>
      <c r="B2" s="208"/>
      <c r="C2" s="208"/>
      <c r="D2" s="208"/>
      <c r="E2" s="208"/>
      <c r="F2" s="208"/>
      <c r="G2" s="208"/>
    </row>
    <row r="3" spans="1:7" ht="18.75" x14ac:dyDescent="0.3">
      <c r="A3" s="208" t="s">
        <v>2</v>
      </c>
      <c r="B3" s="208"/>
      <c r="C3" s="208"/>
      <c r="D3" s="208"/>
      <c r="E3" s="208"/>
      <c r="F3" s="208"/>
      <c r="G3" s="208"/>
    </row>
    <row r="4" spans="1:7" ht="18.75" x14ac:dyDescent="0.3">
      <c r="A4" s="208" t="s">
        <v>365</v>
      </c>
      <c r="B4" s="208"/>
      <c r="C4" s="208"/>
      <c r="D4" s="208"/>
      <c r="E4" s="208"/>
      <c r="F4" s="208"/>
      <c r="G4" s="208"/>
    </row>
    <row r="5" spans="1:7" ht="15.75" x14ac:dyDescent="0.25">
      <c r="A5" s="35"/>
      <c r="B5" s="36"/>
      <c r="C5" s="36"/>
      <c r="D5" s="36"/>
      <c r="E5" s="36"/>
      <c r="F5" s="37"/>
      <c r="G5" s="36"/>
    </row>
    <row r="6" spans="1:7" x14ac:dyDescent="0.25">
      <c r="A6" s="209" t="s">
        <v>155</v>
      </c>
      <c r="B6" s="210" t="s">
        <v>156</v>
      </c>
      <c r="C6" s="210" t="s">
        <v>157</v>
      </c>
      <c r="D6" s="211"/>
      <c r="E6" s="211"/>
      <c r="F6" s="211"/>
      <c r="G6" s="210" t="s">
        <v>158</v>
      </c>
    </row>
    <row r="7" spans="1:7" ht="76.5" x14ac:dyDescent="0.25">
      <c r="A7" s="209"/>
      <c r="B7" s="210"/>
      <c r="C7" s="210"/>
      <c r="D7" s="38" t="s">
        <v>159</v>
      </c>
      <c r="E7" s="210" t="s">
        <v>160</v>
      </c>
      <c r="F7" s="210"/>
      <c r="G7" s="210"/>
    </row>
    <row r="8" spans="1:7" x14ac:dyDescent="0.25">
      <c r="A8" s="209"/>
      <c r="B8" s="210"/>
      <c r="C8" s="210"/>
      <c r="D8" s="38" t="s">
        <v>161</v>
      </c>
      <c r="E8" s="38" t="s">
        <v>162</v>
      </c>
      <c r="F8" s="39" t="s">
        <v>161</v>
      </c>
      <c r="G8" s="210"/>
    </row>
    <row r="9" spans="1:7" x14ac:dyDescent="0.25">
      <c r="A9" s="45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</row>
    <row r="10" spans="1:7" ht="40.5" customHeight="1" x14ac:dyDescent="0.25">
      <c r="A10" s="40"/>
      <c r="B10" s="41" t="s">
        <v>163</v>
      </c>
      <c r="C10" s="42"/>
      <c r="D10" s="42"/>
      <c r="E10" s="42"/>
      <c r="F10" s="43"/>
      <c r="G10" s="42"/>
    </row>
    <row r="11" spans="1:7" ht="40.5" customHeight="1" x14ac:dyDescent="0.25">
      <c r="A11" s="44" t="s">
        <v>164</v>
      </c>
      <c r="B11" s="42" t="s">
        <v>165</v>
      </c>
      <c r="C11" s="45" t="s">
        <v>33</v>
      </c>
      <c r="D11" s="46">
        <v>8183</v>
      </c>
      <c r="E11" s="47">
        <v>13000</v>
      </c>
      <c r="F11" s="47">
        <v>5936</v>
      </c>
      <c r="G11" s="42" t="s">
        <v>346</v>
      </c>
    </row>
    <row r="12" spans="1:7" ht="66.75" customHeight="1" x14ac:dyDescent="0.25">
      <c r="A12" s="44" t="s">
        <v>166</v>
      </c>
      <c r="B12" s="42" t="s">
        <v>167</v>
      </c>
      <c r="C12" s="45" t="s">
        <v>168</v>
      </c>
      <c r="D12" s="45">
        <v>100.1</v>
      </c>
      <c r="E12" s="141">
        <v>100</v>
      </c>
      <c r="F12" s="137">
        <v>107</v>
      </c>
      <c r="G12" s="49"/>
    </row>
    <row r="13" spans="1:7" ht="80.25" customHeight="1" x14ac:dyDescent="0.25">
      <c r="A13" s="44" t="s">
        <v>46</v>
      </c>
      <c r="B13" s="42" t="s">
        <v>169</v>
      </c>
      <c r="C13" s="45" t="s">
        <v>168</v>
      </c>
      <c r="D13" s="45" t="s">
        <v>340</v>
      </c>
      <c r="E13" s="45">
        <v>97</v>
      </c>
      <c r="F13" s="137">
        <v>90.8</v>
      </c>
      <c r="G13" s="42" t="s">
        <v>346</v>
      </c>
    </row>
    <row r="14" spans="1:7" ht="93" customHeight="1" x14ac:dyDescent="0.25">
      <c r="A14" s="44" t="s">
        <v>170</v>
      </c>
      <c r="B14" s="42" t="s">
        <v>171</v>
      </c>
      <c r="C14" s="45" t="s">
        <v>168</v>
      </c>
      <c r="D14" s="45" t="s">
        <v>340</v>
      </c>
      <c r="E14" s="50">
        <v>100</v>
      </c>
      <c r="F14" s="42" t="s">
        <v>339</v>
      </c>
      <c r="G14" s="42"/>
    </row>
    <row r="15" spans="1:7" ht="52.5" customHeight="1" x14ac:dyDescent="0.25">
      <c r="A15" s="44" t="s">
        <v>62</v>
      </c>
      <c r="B15" s="42" t="s">
        <v>172</v>
      </c>
      <c r="C15" s="45" t="s">
        <v>168</v>
      </c>
      <c r="D15" s="45" t="s">
        <v>340</v>
      </c>
      <c r="E15" s="45">
        <v>87</v>
      </c>
      <c r="F15" s="42" t="s">
        <v>339</v>
      </c>
      <c r="G15" s="42"/>
    </row>
    <row r="16" spans="1:7" ht="106.5" customHeight="1" x14ac:dyDescent="0.25">
      <c r="A16" s="44" t="s">
        <v>173</v>
      </c>
      <c r="B16" s="42" t="s">
        <v>174</v>
      </c>
      <c r="C16" s="45" t="s">
        <v>168</v>
      </c>
      <c r="D16" s="45">
        <v>3.1</v>
      </c>
      <c r="E16" s="45">
        <v>12.4</v>
      </c>
      <c r="F16" s="137">
        <v>14.5</v>
      </c>
      <c r="G16" s="42"/>
    </row>
    <row r="17" spans="1:7" ht="121.5" customHeight="1" x14ac:dyDescent="0.25">
      <c r="A17" s="44" t="s">
        <v>175</v>
      </c>
      <c r="B17" s="42" t="s">
        <v>176</v>
      </c>
      <c r="C17" s="45" t="s">
        <v>168</v>
      </c>
      <c r="D17" s="45">
        <v>100</v>
      </c>
      <c r="E17" s="45">
        <v>100</v>
      </c>
      <c r="F17" s="42" t="s">
        <v>339</v>
      </c>
      <c r="G17" s="146"/>
    </row>
    <row r="18" spans="1:7" ht="40.5" customHeight="1" x14ac:dyDescent="0.25">
      <c r="A18" s="44" t="s">
        <v>178</v>
      </c>
      <c r="B18" s="42" t="s">
        <v>179</v>
      </c>
      <c r="C18" s="45" t="s">
        <v>180</v>
      </c>
      <c r="D18" s="45" t="s">
        <v>340</v>
      </c>
      <c r="E18" s="45">
        <v>64.2</v>
      </c>
      <c r="F18" s="42" t="s">
        <v>339</v>
      </c>
      <c r="G18" s="146"/>
    </row>
    <row r="19" spans="1:7" ht="39.75" customHeight="1" x14ac:dyDescent="0.25">
      <c r="A19" s="44" t="s">
        <v>181</v>
      </c>
      <c r="B19" s="42" t="s">
        <v>182</v>
      </c>
      <c r="C19" s="45" t="s">
        <v>183</v>
      </c>
      <c r="D19" s="45" t="s">
        <v>340</v>
      </c>
      <c r="E19" s="51">
        <v>0.14499999999999999</v>
      </c>
      <c r="F19" s="42" t="s">
        <v>339</v>
      </c>
      <c r="G19" s="146"/>
    </row>
    <row r="20" spans="1:7" ht="40.5" customHeight="1" x14ac:dyDescent="0.25">
      <c r="A20" s="52" t="s">
        <v>184</v>
      </c>
      <c r="B20" s="42" t="s">
        <v>185</v>
      </c>
      <c r="C20" s="45" t="s">
        <v>186</v>
      </c>
      <c r="D20" s="45" t="s">
        <v>340</v>
      </c>
      <c r="E20" s="45">
        <v>1.54</v>
      </c>
      <c r="F20" s="42" t="s">
        <v>339</v>
      </c>
      <c r="G20" s="146"/>
    </row>
    <row r="21" spans="1:7" ht="54" customHeight="1" x14ac:dyDescent="0.25">
      <c r="A21" s="52" t="s">
        <v>187</v>
      </c>
      <c r="B21" s="42" t="s">
        <v>188</v>
      </c>
      <c r="C21" s="45" t="s">
        <v>189</v>
      </c>
      <c r="D21" s="45" t="s">
        <v>340</v>
      </c>
      <c r="E21" s="45">
        <v>21.2</v>
      </c>
      <c r="F21" s="42" t="s">
        <v>339</v>
      </c>
      <c r="G21" s="146"/>
    </row>
    <row r="22" spans="1:7" ht="133.5" customHeight="1" x14ac:dyDescent="0.25">
      <c r="A22" s="44" t="s">
        <v>190</v>
      </c>
      <c r="B22" s="42" t="s">
        <v>191</v>
      </c>
      <c r="C22" s="45" t="s">
        <v>189</v>
      </c>
      <c r="D22" s="45" t="s">
        <v>340</v>
      </c>
      <c r="E22" s="45">
        <v>2.14</v>
      </c>
      <c r="F22" s="42" t="s">
        <v>339</v>
      </c>
      <c r="G22" s="146"/>
    </row>
    <row r="23" spans="1:7" ht="43.5" customHeight="1" x14ac:dyDescent="0.25">
      <c r="A23" s="52" t="s">
        <v>192</v>
      </c>
      <c r="B23" s="42" t="s">
        <v>193</v>
      </c>
      <c r="C23" s="45" t="s">
        <v>189</v>
      </c>
      <c r="D23" s="45" t="s">
        <v>340</v>
      </c>
      <c r="E23" s="141">
        <v>100</v>
      </c>
      <c r="F23" s="137">
        <v>100</v>
      </c>
      <c r="G23" s="42"/>
    </row>
    <row r="24" spans="1:7" ht="80.25" customHeight="1" x14ac:dyDescent="0.25">
      <c r="A24" s="52" t="s">
        <v>194</v>
      </c>
      <c r="B24" s="42" t="s">
        <v>195</v>
      </c>
      <c r="C24" s="45" t="s">
        <v>189</v>
      </c>
      <c r="D24" s="45" t="s">
        <v>340</v>
      </c>
      <c r="E24" s="45">
        <v>8.8000000000000007</v>
      </c>
      <c r="F24" s="42" t="s">
        <v>339</v>
      </c>
      <c r="G24" s="42" t="s">
        <v>297</v>
      </c>
    </row>
    <row r="25" spans="1:7" ht="15.75" x14ac:dyDescent="0.25">
      <c r="A25" s="44" t="s">
        <v>196</v>
      </c>
      <c r="B25" s="206" t="s">
        <v>197</v>
      </c>
      <c r="C25" s="206"/>
      <c r="D25" s="206"/>
      <c r="E25" s="206"/>
      <c r="F25" s="206"/>
      <c r="G25" s="206"/>
    </row>
    <row r="26" spans="1:7" ht="71.25" customHeight="1" x14ac:dyDescent="0.25">
      <c r="A26" s="44" t="s">
        <v>198</v>
      </c>
      <c r="B26" s="53" t="s">
        <v>199</v>
      </c>
      <c r="C26" s="45" t="s">
        <v>168</v>
      </c>
      <c r="D26" s="45">
        <v>99.9</v>
      </c>
      <c r="E26" s="141">
        <v>100</v>
      </c>
      <c r="F26" s="137">
        <v>99.99</v>
      </c>
      <c r="G26" s="48"/>
    </row>
    <row r="27" spans="1:7" ht="15.75" x14ac:dyDescent="0.25">
      <c r="A27" s="44" t="s">
        <v>200</v>
      </c>
      <c r="B27" s="206" t="s">
        <v>201</v>
      </c>
      <c r="C27" s="206"/>
      <c r="D27" s="206"/>
      <c r="E27" s="206"/>
      <c r="F27" s="206"/>
      <c r="G27" s="206"/>
    </row>
    <row r="28" spans="1:7" ht="110.25" customHeight="1" x14ac:dyDescent="0.25">
      <c r="A28" s="44" t="s">
        <v>202</v>
      </c>
      <c r="B28" s="42" t="s">
        <v>203</v>
      </c>
      <c r="C28" s="45" t="s">
        <v>168</v>
      </c>
      <c r="D28" s="141">
        <v>100</v>
      </c>
      <c r="E28" s="141">
        <v>100</v>
      </c>
      <c r="F28" s="141">
        <v>100</v>
      </c>
      <c r="G28" s="42"/>
    </row>
    <row r="29" spans="1:7" ht="42" customHeight="1" x14ac:dyDescent="0.25">
      <c r="A29" s="44" t="s">
        <v>204</v>
      </c>
      <c r="B29" s="42" t="s">
        <v>205</v>
      </c>
      <c r="C29" s="45" t="s">
        <v>33</v>
      </c>
      <c r="D29" s="45" t="s">
        <v>177</v>
      </c>
      <c r="E29" s="46">
        <v>2600</v>
      </c>
      <c r="F29" s="46">
        <v>2457</v>
      </c>
      <c r="G29" s="42" t="s">
        <v>346</v>
      </c>
    </row>
    <row r="30" spans="1:7" ht="42.75" customHeight="1" x14ac:dyDescent="0.25">
      <c r="A30" s="44" t="s">
        <v>206</v>
      </c>
      <c r="B30" s="42" t="s">
        <v>207</v>
      </c>
      <c r="C30" s="45" t="s">
        <v>208</v>
      </c>
      <c r="D30" s="45" t="s">
        <v>177</v>
      </c>
      <c r="E30" s="46">
        <v>8300</v>
      </c>
      <c r="F30" s="46">
        <v>6525</v>
      </c>
      <c r="G30" s="42" t="s">
        <v>346</v>
      </c>
    </row>
    <row r="31" spans="1:7" ht="41.25" customHeight="1" x14ac:dyDescent="0.25">
      <c r="A31" s="44" t="s">
        <v>209</v>
      </c>
      <c r="B31" s="42" t="s">
        <v>210</v>
      </c>
      <c r="C31" s="45" t="s">
        <v>33</v>
      </c>
      <c r="D31" s="45" t="s">
        <v>177</v>
      </c>
      <c r="E31" s="46">
        <v>4700</v>
      </c>
      <c r="F31" s="46">
        <v>3052</v>
      </c>
      <c r="G31" s="42" t="s">
        <v>346</v>
      </c>
    </row>
    <row r="32" spans="1:7" ht="15.75" x14ac:dyDescent="0.25">
      <c r="A32" s="44" t="s">
        <v>211</v>
      </c>
      <c r="B32" s="206" t="s">
        <v>212</v>
      </c>
      <c r="C32" s="206"/>
      <c r="D32" s="206"/>
      <c r="E32" s="206"/>
      <c r="F32" s="206"/>
      <c r="G32" s="206"/>
    </row>
    <row r="33" spans="1:7" ht="205.5" customHeight="1" x14ac:dyDescent="0.25">
      <c r="A33" s="44" t="s">
        <v>213</v>
      </c>
      <c r="B33" s="42" t="s">
        <v>214</v>
      </c>
      <c r="C33" s="45" t="s">
        <v>168</v>
      </c>
      <c r="D33" s="141">
        <v>93.4</v>
      </c>
      <c r="E33" s="141">
        <v>94</v>
      </c>
      <c r="F33" s="137">
        <v>93.8</v>
      </c>
      <c r="G33" s="42" t="s">
        <v>384</v>
      </c>
    </row>
    <row r="34" spans="1:7" ht="118.5" customHeight="1" x14ac:dyDescent="0.25">
      <c r="A34" s="44" t="s">
        <v>215</v>
      </c>
      <c r="B34" s="42" t="s">
        <v>216</v>
      </c>
      <c r="C34" s="45" t="s">
        <v>208</v>
      </c>
      <c r="D34" s="45" t="s">
        <v>340</v>
      </c>
      <c r="E34" s="45">
        <v>1.7529999999999999</v>
      </c>
      <c r="F34" s="42" t="s">
        <v>339</v>
      </c>
      <c r="G34" s="42" t="s">
        <v>326</v>
      </c>
    </row>
    <row r="35" spans="1:7" ht="121.5" customHeight="1" x14ac:dyDescent="0.25">
      <c r="A35" s="44" t="s">
        <v>217</v>
      </c>
      <c r="B35" s="42" t="s">
        <v>218</v>
      </c>
      <c r="C35" s="45" t="s">
        <v>33</v>
      </c>
      <c r="D35" s="45" t="s">
        <v>340</v>
      </c>
      <c r="E35" s="45">
        <v>111.7</v>
      </c>
      <c r="F35" s="42" t="s">
        <v>339</v>
      </c>
      <c r="G35" s="42" t="s">
        <v>326</v>
      </c>
    </row>
    <row r="36" spans="1:7" ht="120" customHeight="1" x14ac:dyDescent="0.25">
      <c r="A36" s="44" t="s">
        <v>219</v>
      </c>
      <c r="B36" s="42" t="s">
        <v>220</v>
      </c>
      <c r="C36" s="45" t="s">
        <v>33</v>
      </c>
      <c r="D36" s="45" t="s">
        <v>340</v>
      </c>
      <c r="E36" s="45">
        <v>90.5</v>
      </c>
      <c r="F36" s="42" t="s">
        <v>339</v>
      </c>
      <c r="G36" s="42" t="s">
        <v>326</v>
      </c>
    </row>
    <row r="37" spans="1:7" ht="42.75" customHeight="1" x14ac:dyDescent="0.25">
      <c r="A37" s="44" t="s">
        <v>309</v>
      </c>
      <c r="B37" s="42" t="s">
        <v>312</v>
      </c>
      <c r="C37" s="45" t="s">
        <v>208</v>
      </c>
      <c r="D37" s="45" t="s">
        <v>340</v>
      </c>
      <c r="E37" s="45">
        <v>0.61499999999999999</v>
      </c>
      <c r="F37" s="42" t="s">
        <v>339</v>
      </c>
      <c r="G37" s="42" t="s">
        <v>337</v>
      </c>
    </row>
    <row r="38" spans="1:7" ht="51.75" customHeight="1" x14ac:dyDescent="0.25">
      <c r="A38" s="44" t="s">
        <v>311</v>
      </c>
      <c r="B38" s="42" t="s">
        <v>313</v>
      </c>
      <c r="C38" s="45" t="s">
        <v>208</v>
      </c>
      <c r="D38" s="45" t="s">
        <v>340</v>
      </c>
      <c r="E38" s="45">
        <v>0.38300000000000001</v>
      </c>
      <c r="F38" s="42" t="s">
        <v>339</v>
      </c>
      <c r="G38" s="42" t="s">
        <v>337</v>
      </c>
    </row>
    <row r="39" spans="1:7" ht="54" customHeight="1" x14ac:dyDescent="0.25">
      <c r="A39" s="44" t="s">
        <v>310</v>
      </c>
      <c r="B39" s="42" t="s">
        <v>314</v>
      </c>
      <c r="C39" s="45" t="s">
        <v>208</v>
      </c>
      <c r="D39" s="45" t="s">
        <v>340</v>
      </c>
      <c r="E39" s="45">
        <v>43.68</v>
      </c>
      <c r="F39" s="42" t="s">
        <v>339</v>
      </c>
      <c r="G39" s="42" t="s">
        <v>338</v>
      </c>
    </row>
    <row r="40" spans="1:7" ht="78.75" customHeight="1" x14ac:dyDescent="0.25">
      <c r="A40" s="44" t="s">
        <v>356</v>
      </c>
      <c r="B40" s="42" t="s">
        <v>357</v>
      </c>
      <c r="C40" s="45" t="s">
        <v>168</v>
      </c>
      <c r="D40" s="45" t="s">
        <v>340</v>
      </c>
      <c r="E40" s="45">
        <v>20.7</v>
      </c>
      <c r="F40" s="42" t="s">
        <v>339</v>
      </c>
      <c r="G40" s="146"/>
    </row>
    <row r="41" spans="1:7" ht="15.75" x14ac:dyDescent="0.25">
      <c r="A41" s="54"/>
      <c r="B41" s="55"/>
      <c r="C41" s="56"/>
      <c r="D41" s="56"/>
      <c r="E41" s="56"/>
      <c r="F41" s="57"/>
      <c r="G41" s="55"/>
    </row>
    <row r="42" spans="1:7" ht="20.25" x14ac:dyDescent="0.25">
      <c r="A42" s="58"/>
      <c r="B42" s="59"/>
      <c r="C42" s="60"/>
      <c r="D42" s="60"/>
      <c r="E42" s="60"/>
      <c r="F42" s="61"/>
      <c r="G42" s="59"/>
    </row>
    <row r="43" spans="1:7" ht="66.75" customHeight="1" x14ac:dyDescent="0.3">
      <c r="A43" s="204" t="s">
        <v>299</v>
      </c>
      <c r="B43" s="205"/>
      <c r="C43" s="60"/>
      <c r="D43" s="60"/>
      <c r="E43" s="60"/>
      <c r="F43" s="207" t="s">
        <v>300</v>
      </c>
      <c r="G43" s="207"/>
    </row>
    <row r="55" spans="1:2" ht="42" customHeight="1" x14ac:dyDescent="0.3">
      <c r="A55" s="204" t="s">
        <v>454</v>
      </c>
      <c r="B55" s="205"/>
    </row>
    <row r="56" spans="1:2" x14ac:dyDescent="0.25">
      <c r="A56" s="203"/>
      <c r="B56" s="203"/>
    </row>
  </sheetData>
  <mergeCells count="17"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  <mergeCell ref="A56:B56"/>
    <mergeCell ref="A55:B55"/>
    <mergeCell ref="B25:G25"/>
    <mergeCell ref="B27:G27"/>
    <mergeCell ref="B32:G32"/>
    <mergeCell ref="A43:B43"/>
    <mergeCell ref="F43:G4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tabSelected="1" view="pageBreakPreview" topLeftCell="A133" zoomScale="50" zoomScaleNormal="30" zoomScaleSheetLayoutView="50" workbookViewId="0">
      <selection activeCell="Q136" sqref="P136:Q136"/>
    </sheetView>
  </sheetViews>
  <sheetFormatPr defaultRowHeight="15" x14ac:dyDescent="0.25"/>
  <cols>
    <col min="1" max="1" width="13" style="123" customWidth="1"/>
    <col min="2" max="2" width="33.140625" style="123" customWidth="1"/>
    <col min="3" max="3" width="9.140625" style="123"/>
    <col min="4" max="4" width="40.140625" style="123" customWidth="1"/>
    <col min="5" max="5" width="19.5703125" style="123" customWidth="1"/>
    <col min="6" max="6" width="17.28515625" style="123" customWidth="1"/>
    <col min="7" max="7" width="18.140625" style="123" customWidth="1"/>
    <col min="8" max="8" width="21" style="123" customWidth="1"/>
    <col min="9" max="9" width="23.5703125" style="123" customWidth="1"/>
    <col min="10" max="10" width="22.28515625" style="123" customWidth="1"/>
    <col min="11" max="11" width="21.7109375" style="123" customWidth="1"/>
    <col min="12" max="12" width="21.42578125" style="123" customWidth="1"/>
    <col min="13" max="14" width="19.42578125" style="123" customWidth="1"/>
    <col min="15" max="15" width="20.7109375" style="123" customWidth="1"/>
    <col min="16" max="16" width="20.28515625" style="123" customWidth="1"/>
    <col min="17" max="17" width="29" style="123" customWidth="1"/>
    <col min="18" max="19" width="31.5703125" style="123" customWidth="1"/>
    <col min="20" max="20" width="14.7109375" style="123" bestFit="1" customWidth="1"/>
    <col min="21" max="21" width="9.140625" style="123"/>
    <col min="22" max="22" width="8.85546875" style="123" customWidth="1"/>
    <col min="23" max="23" width="22.85546875" style="123" customWidth="1"/>
    <col min="24" max="24" width="18.5703125" style="123" customWidth="1"/>
    <col min="25" max="25" width="20.28515625" style="123" customWidth="1"/>
    <col min="26" max="16384" width="9.140625" style="123"/>
  </cols>
  <sheetData>
    <row r="1" spans="1:27" ht="18.75" x14ac:dyDescent="0.3">
      <c r="A1" s="62"/>
      <c r="B1" s="63"/>
      <c r="C1" s="64"/>
      <c r="D1" s="63"/>
      <c r="E1" s="64"/>
      <c r="F1" s="64"/>
      <c r="G1" s="64"/>
      <c r="H1" s="64"/>
      <c r="I1" s="65"/>
      <c r="J1" s="230" t="s">
        <v>153</v>
      </c>
      <c r="K1" s="230"/>
      <c r="L1" s="65"/>
      <c r="M1" s="65"/>
      <c r="N1" s="65"/>
      <c r="O1" s="66"/>
      <c r="P1" s="66"/>
      <c r="Q1" s="68"/>
      <c r="R1" s="69"/>
      <c r="S1" s="70"/>
      <c r="T1" s="67"/>
      <c r="U1" s="67"/>
      <c r="V1" s="67"/>
      <c r="W1" s="71"/>
      <c r="X1" s="71"/>
      <c r="Y1" s="71"/>
      <c r="Z1" s="72"/>
      <c r="AA1" s="72"/>
    </row>
    <row r="2" spans="1:27" ht="18.75" x14ac:dyDescent="0.3">
      <c r="A2" s="73" t="s">
        <v>221</v>
      </c>
      <c r="B2" s="73"/>
      <c r="C2" s="73"/>
      <c r="D2" s="73"/>
      <c r="E2" s="73"/>
      <c r="F2" s="73"/>
      <c r="G2" s="73"/>
      <c r="H2" s="73"/>
      <c r="I2" s="231" t="s">
        <v>222</v>
      </c>
      <c r="J2" s="231"/>
      <c r="K2" s="231"/>
      <c r="L2" s="231"/>
      <c r="M2" s="73"/>
      <c r="N2" s="73"/>
      <c r="O2" s="73"/>
      <c r="P2" s="73"/>
      <c r="Q2" s="74"/>
      <c r="R2" s="75"/>
      <c r="S2" s="76"/>
      <c r="T2" s="67"/>
      <c r="U2" s="67"/>
      <c r="V2" s="67"/>
      <c r="W2" s="71"/>
      <c r="X2" s="71"/>
      <c r="Y2" s="71"/>
      <c r="Z2" s="72"/>
      <c r="AA2" s="72"/>
    </row>
    <row r="3" spans="1:27" ht="18.75" x14ac:dyDescent="0.3">
      <c r="A3" s="73" t="s">
        <v>223</v>
      </c>
      <c r="B3" s="73"/>
      <c r="C3" s="73"/>
      <c r="D3" s="73"/>
      <c r="E3" s="73"/>
      <c r="F3" s="73"/>
      <c r="G3" s="73"/>
      <c r="H3" s="231" t="s">
        <v>224</v>
      </c>
      <c r="I3" s="231"/>
      <c r="J3" s="231"/>
      <c r="K3" s="231"/>
      <c r="L3" s="231"/>
      <c r="M3" s="231"/>
      <c r="N3" s="73"/>
      <c r="O3" s="73"/>
      <c r="P3" s="73"/>
      <c r="Q3" s="74"/>
      <c r="R3" s="75"/>
      <c r="S3" s="76"/>
      <c r="T3" s="67"/>
      <c r="U3" s="67"/>
      <c r="V3" s="67"/>
      <c r="W3" s="77"/>
      <c r="X3" s="77"/>
      <c r="Y3" s="77"/>
      <c r="Z3" s="67"/>
      <c r="AA3" s="67"/>
    </row>
    <row r="4" spans="1:27" ht="18.75" x14ac:dyDescent="0.3">
      <c r="A4" s="78" t="s">
        <v>225</v>
      </c>
      <c r="B4" s="78"/>
      <c r="C4" s="78"/>
      <c r="D4" s="78"/>
      <c r="E4" s="78"/>
      <c r="F4" s="78"/>
      <c r="G4" s="78"/>
      <c r="H4" s="78"/>
      <c r="I4" s="78"/>
      <c r="J4" s="232" t="s">
        <v>366</v>
      </c>
      <c r="K4" s="232"/>
      <c r="L4" s="78"/>
      <c r="M4" s="78"/>
      <c r="N4" s="78"/>
      <c r="O4" s="78"/>
      <c r="P4" s="78"/>
      <c r="Q4" s="79"/>
      <c r="R4" s="75"/>
      <c r="S4" s="76"/>
      <c r="T4" s="67"/>
      <c r="U4" s="67"/>
      <c r="V4" s="67"/>
      <c r="W4" s="77"/>
      <c r="X4" s="77"/>
      <c r="Y4" s="77"/>
      <c r="Z4" s="67"/>
      <c r="AA4" s="67"/>
    </row>
    <row r="5" spans="1:27" ht="15.75" x14ac:dyDescent="0.25">
      <c r="A5" s="80"/>
      <c r="B5" s="81"/>
      <c r="C5" s="80"/>
      <c r="D5" s="81"/>
      <c r="E5" s="80"/>
      <c r="F5" s="80"/>
      <c r="G5" s="80"/>
      <c r="H5" s="80"/>
      <c r="I5" s="66"/>
      <c r="J5" s="66"/>
      <c r="K5" s="66"/>
      <c r="L5" s="66"/>
      <c r="M5" s="66"/>
      <c r="N5" s="66"/>
      <c r="O5" s="66"/>
      <c r="P5" s="66"/>
      <c r="Q5" s="82"/>
      <c r="R5" s="75"/>
      <c r="S5" s="76"/>
      <c r="T5" s="67"/>
      <c r="U5" s="67"/>
      <c r="V5" s="67"/>
      <c r="W5" s="77"/>
      <c r="X5" s="77"/>
      <c r="Y5" s="77"/>
      <c r="Z5" s="67"/>
      <c r="AA5" s="67"/>
    </row>
    <row r="6" spans="1:27" ht="18.75" customHeight="1" x14ac:dyDescent="0.25">
      <c r="A6" s="220" t="s">
        <v>226</v>
      </c>
      <c r="B6" s="223" t="s">
        <v>227</v>
      </c>
      <c r="C6" s="174" t="s">
        <v>228</v>
      </c>
      <c r="D6" s="227" t="s">
        <v>229</v>
      </c>
      <c r="E6" s="227" t="s">
        <v>230</v>
      </c>
      <c r="F6" s="227" t="s">
        <v>231</v>
      </c>
      <c r="G6" s="227" t="s">
        <v>232</v>
      </c>
      <c r="H6" s="227" t="s">
        <v>233</v>
      </c>
      <c r="I6" s="228" t="s">
        <v>234</v>
      </c>
      <c r="J6" s="228"/>
      <c r="K6" s="228"/>
      <c r="L6" s="228"/>
      <c r="M6" s="228"/>
      <c r="N6" s="228"/>
      <c r="O6" s="228"/>
      <c r="P6" s="228"/>
      <c r="Q6" s="223" t="s">
        <v>235</v>
      </c>
      <c r="R6" s="83"/>
      <c r="S6" s="84"/>
      <c r="T6" s="85"/>
      <c r="U6" s="85"/>
      <c r="V6" s="85"/>
      <c r="W6" s="70"/>
      <c r="X6" s="70"/>
      <c r="Y6" s="70"/>
      <c r="Z6" s="85"/>
      <c r="AA6" s="85"/>
    </row>
    <row r="7" spans="1:27" ht="18.75" x14ac:dyDescent="0.25">
      <c r="A7" s="220"/>
      <c r="B7" s="223"/>
      <c r="C7" s="174"/>
      <c r="D7" s="227"/>
      <c r="E7" s="227"/>
      <c r="F7" s="227"/>
      <c r="G7" s="227"/>
      <c r="H7" s="227"/>
      <c r="I7" s="233" t="s">
        <v>236</v>
      </c>
      <c r="J7" s="233"/>
      <c r="K7" s="234" t="s">
        <v>237</v>
      </c>
      <c r="L7" s="234"/>
      <c r="M7" s="233" t="s">
        <v>238</v>
      </c>
      <c r="N7" s="233"/>
      <c r="O7" s="233" t="s">
        <v>239</v>
      </c>
      <c r="P7" s="233"/>
      <c r="Q7" s="223"/>
      <c r="R7" s="83"/>
      <c r="S7" s="84"/>
      <c r="T7" s="67"/>
      <c r="U7" s="67"/>
      <c r="V7" s="67"/>
      <c r="W7" s="77"/>
      <c r="X7" s="77"/>
      <c r="Y7" s="77"/>
      <c r="Z7" s="67"/>
      <c r="AA7" s="67"/>
    </row>
    <row r="8" spans="1:27" ht="141.75" customHeight="1" x14ac:dyDescent="0.25">
      <c r="A8" s="220"/>
      <c r="B8" s="223"/>
      <c r="C8" s="174"/>
      <c r="D8" s="227"/>
      <c r="E8" s="227"/>
      <c r="F8" s="227"/>
      <c r="G8" s="227"/>
      <c r="H8" s="227"/>
      <c r="I8" s="177" t="s">
        <v>162</v>
      </c>
      <c r="J8" s="177" t="s">
        <v>161</v>
      </c>
      <c r="K8" s="177" t="s">
        <v>162</v>
      </c>
      <c r="L8" s="177" t="s">
        <v>161</v>
      </c>
      <c r="M8" s="177" t="s">
        <v>162</v>
      </c>
      <c r="N8" s="177" t="s">
        <v>161</v>
      </c>
      <c r="O8" s="177" t="s">
        <v>162</v>
      </c>
      <c r="P8" s="177" t="s">
        <v>161</v>
      </c>
      <c r="Q8" s="223"/>
      <c r="R8" s="83"/>
      <c r="S8" s="90"/>
      <c r="T8" s="67"/>
      <c r="U8" s="67"/>
      <c r="V8" s="67"/>
      <c r="W8" s="77"/>
      <c r="X8" s="77"/>
      <c r="Y8" s="77"/>
      <c r="Z8" s="67"/>
      <c r="AA8" s="67"/>
    </row>
    <row r="9" spans="1:27" ht="18.75" x14ac:dyDescent="0.25">
      <c r="A9" s="86">
        <v>1</v>
      </c>
      <c r="B9" s="87">
        <v>2</v>
      </c>
      <c r="C9" s="87">
        <v>3</v>
      </c>
      <c r="D9" s="87">
        <v>4</v>
      </c>
      <c r="E9" s="87">
        <v>5</v>
      </c>
      <c r="F9" s="87">
        <v>6</v>
      </c>
      <c r="G9" s="87">
        <v>7</v>
      </c>
      <c r="H9" s="87">
        <v>8</v>
      </c>
      <c r="I9" s="88">
        <v>9</v>
      </c>
      <c r="J9" s="88">
        <v>10</v>
      </c>
      <c r="K9" s="88">
        <v>11</v>
      </c>
      <c r="L9" s="88">
        <v>12</v>
      </c>
      <c r="M9" s="88">
        <v>13</v>
      </c>
      <c r="N9" s="88">
        <v>14</v>
      </c>
      <c r="O9" s="88">
        <v>15</v>
      </c>
      <c r="P9" s="88">
        <v>16</v>
      </c>
      <c r="Q9" s="87">
        <v>17</v>
      </c>
      <c r="R9" s="83"/>
      <c r="S9" s="84"/>
      <c r="T9" s="85"/>
      <c r="U9" s="85"/>
      <c r="V9" s="85"/>
      <c r="W9" s="70"/>
      <c r="X9" s="70"/>
      <c r="Y9" s="70"/>
      <c r="Z9" s="85"/>
      <c r="AA9" s="85"/>
    </row>
    <row r="10" spans="1:27" ht="68.25" customHeight="1" x14ac:dyDescent="0.25">
      <c r="A10" s="173" t="s">
        <v>92</v>
      </c>
      <c r="B10" s="172" t="s">
        <v>240</v>
      </c>
      <c r="C10" s="170"/>
      <c r="D10" s="172" t="s">
        <v>29</v>
      </c>
      <c r="E10" s="169" t="s">
        <v>328</v>
      </c>
      <c r="F10" s="169" t="s">
        <v>329</v>
      </c>
      <c r="G10" s="169" t="s">
        <v>328</v>
      </c>
      <c r="H10" s="169"/>
      <c r="I10" s="171">
        <f>I11</f>
        <v>272777.09999999998</v>
      </c>
      <c r="J10" s="171">
        <f t="shared" ref="J10:P10" si="0">J11</f>
        <v>274724.40000000002</v>
      </c>
      <c r="K10" s="171">
        <v>358760.7</v>
      </c>
      <c r="L10" s="171">
        <f t="shared" si="0"/>
        <v>377065</v>
      </c>
      <c r="M10" s="171">
        <v>397652.5</v>
      </c>
      <c r="N10" s="171">
        <f t="shared" si="0"/>
        <v>0</v>
      </c>
      <c r="O10" s="171">
        <f>O11</f>
        <v>409697.6</v>
      </c>
      <c r="P10" s="171">
        <f t="shared" si="0"/>
        <v>0</v>
      </c>
      <c r="Q10" s="170" t="s">
        <v>25</v>
      </c>
      <c r="R10" s="83"/>
      <c r="S10" s="121">
        <f>I10+K10+M10+O10</f>
        <v>1438887.9</v>
      </c>
      <c r="T10" s="122">
        <f>J10+L10+N10+P10</f>
        <v>651789.4</v>
      </c>
      <c r="U10" s="67"/>
      <c r="V10" s="67"/>
      <c r="W10" s="77"/>
      <c r="X10" s="77"/>
      <c r="Y10" s="77"/>
      <c r="Z10" s="67"/>
      <c r="AA10" s="67"/>
    </row>
    <row r="11" spans="1:27" ht="212.25" customHeight="1" x14ac:dyDescent="0.25">
      <c r="A11" s="173" t="s">
        <v>27</v>
      </c>
      <c r="B11" s="172" t="s">
        <v>28</v>
      </c>
      <c r="C11" s="91"/>
      <c r="D11" s="172" t="s">
        <v>467</v>
      </c>
      <c r="E11" s="169" t="s">
        <v>328</v>
      </c>
      <c r="F11" s="169" t="s">
        <v>329</v>
      </c>
      <c r="G11" s="169" t="s">
        <v>328</v>
      </c>
      <c r="H11" s="169"/>
      <c r="I11" s="171">
        <v>272777.09999999998</v>
      </c>
      <c r="J11" s="171">
        <v>274724.40000000002</v>
      </c>
      <c r="K11" s="171">
        <v>358760.7</v>
      </c>
      <c r="L11" s="171">
        <f>651789.4-J11</f>
        <v>377065</v>
      </c>
      <c r="M11" s="171">
        <v>397652.5</v>
      </c>
      <c r="N11" s="171">
        <v>0</v>
      </c>
      <c r="O11" s="171">
        <f>409697.6</f>
        <v>409697.6</v>
      </c>
      <c r="P11" s="171">
        <v>0</v>
      </c>
      <c r="Q11" s="172"/>
      <c r="R11" s="83"/>
      <c r="S11" s="90">
        <v>1438887.9</v>
      </c>
      <c r="T11" s="67"/>
      <c r="U11" s="67"/>
      <c r="V11" s="67"/>
      <c r="W11" s="92">
        <f t="shared" ref="W11:W35" si="1">I11+K11+M11+O11</f>
        <v>1438887.9</v>
      </c>
      <c r="X11" s="92">
        <f t="shared" ref="X11:X35" si="2">J11+L11+N11+P11</f>
        <v>651789.4</v>
      </c>
      <c r="Y11" s="92">
        <f>W11-X11</f>
        <v>787098.49999999988</v>
      </c>
      <c r="Z11" s="67"/>
      <c r="AA11" s="67"/>
    </row>
    <row r="12" spans="1:27" ht="25.5" customHeight="1" x14ac:dyDescent="0.25">
      <c r="A12" s="93" t="s">
        <v>30</v>
      </c>
      <c r="B12" s="225" t="s">
        <v>242</v>
      </c>
      <c r="C12" s="225"/>
      <c r="D12" s="225"/>
      <c r="E12" s="225"/>
      <c r="F12" s="225"/>
      <c r="G12" s="225"/>
      <c r="H12" s="225"/>
      <c r="I12" s="138">
        <f t="shared" ref="I12:P12" si="3">I13+I15+I16+I17+I19+I20+I21+I24+I26+I28+I29+I30+I31+I33+I35+I36+I37+I38+I39+I41+I45+I46+I47+I51+I53+I54+I56+I58+I14+I18+I22+I43+I60+I55</f>
        <v>4491136.5</v>
      </c>
      <c r="J12" s="138">
        <f t="shared" si="3"/>
        <v>4533779.5999999996</v>
      </c>
      <c r="K12" s="138">
        <f t="shared" si="3"/>
        <v>3292020.8</v>
      </c>
      <c r="L12" s="138">
        <f t="shared" si="3"/>
        <v>3354826.7000000007</v>
      </c>
      <c r="M12" s="138">
        <f t="shared" si="3"/>
        <v>3172487.0999999996</v>
      </c>
      <c r="N12" s="138">
        <f t="shared" si="3"/>
        <v>0</v>
      </c>
      <c r="O12" s="138">
        <f t="shared" si="3"/>
        <v>5012351.2000000011</v>
      </c>
      <c r="P12" s="138">
        <f t="shared" si="3"/>
        <v>0</v>
      </c>
      <c r="Q12" s="178"/>
      <c r="R12" s="83"/>
      <c r="S12" s="121">
        <v>15967995.6</v>
      </c>
      <c r="T12" s="120">
        <f>J12+L12+N12+P12</f>
        <v>7888606.3000000007</v>
      </c>
      <c r="U12" s="94"/>
      <c r="V12" s="94"/>
      <c r="W12" s="92">
        <f t="shared" si="1"/>
        <v>15967995.6</v>
      </c>
      <c r="X12" s="92">
        <f t="shared" si="2"/>
        <v>7888606.3000000007</v>
      </c>
      <c r="Y12" s="92">
        <f t="shared" ref="Y12:Y62" si="4">W12-X12</f>
        <v>8079389.2999999989</v>
      </c>
      <c r="Z12" s="94"/>
      <c r="AA12" s="94"/>
    </row>
    <row r="13" spans="1:27" ht="141" customHeight="1" x14ac:dyDescent="0.25">
      <c r="A13" s="173" t="s">
        <v>27</v>
      </c>
      <c r="B13" s="172" t="s">
        <v>32</v>
      </c>
      <c r="C13" s="170"/>
      <c r="D13" s="172" t="s">
        <v>466</v>
      </c>
      <c r="E13" s="169" t="s">
        <v>328</v>
      </c>
      <c r="F13" s="169" t="s">
        <v>329</v>
      </c>
      <c r="G13" s="169" t="s">
        <v>328</v>
      </c>
      <c r="H13" s="169"/>
      <c r="I13" s="171">
        <v>94097.5</v>
      </c>
      <c r="J13" s="171">
        <v>94097.5</v>
      </c>
      <c r="K13" s="171">
        <v>95414.3</v>
      </c>
      <c r="L13" s="171">
        <f>219718.4-J13</f>
        <v>125620.9</v>
      </c>
      <c r="M13" s="171">
        <v>68000</v>
      </c>
      <c r="N13" s="171">
        <v>0</v>
      </c>
      <c r="O13" s="171">
        <v>92149.5</v>
      </c>
      <c r="P13" s="171">
        <v>0</v>
      </c>
      <c r="Q13" s="172"/>
      <c r="R13" s="83"/>
      <c r="S13" s="90">
        <v>349661.3</v>
      </c>
      <c r="T13" s="67"/>
      <c r="U13" s="67"/>
      <c r="V13" s="67"/>
      <c r="W13" s="92">
        <f t="shared" si="1"/>
        <v>349661.3</v>
      </c>
      <c r="X13" s="92">
        <f t="shared" si="2"/>
        <v>219718.39999999999</v>
      </c>
      <c r="Y13" s="92">
        <f t="shared" si="4"/>
        <v>129942.9</v>
      </c>
      <c r="Z13" s="67"/>
      <c r="AA13" s="67"/>
    </row>
    <row r="14" spans="1:27" ht="219" customHeight="1" x14ac:dyDescent="0.25">
      <c r="A14" s="173" t="s">
        <v>35</v>
      </c>
      <c r="B14" s="172" t="s">
        <v>243</v>
      </c>
      <c r="C14" s="170"/>
      <c r="D14" s="172" t="s">
        <v>465</v>
      </c>
      <c r="E14" s="169" t="s">
        <v>328</v>
      </c>
      <c r="F14" s="169" t="s">
        <v>329</v>
      </c>
      <c r="G14" s="169" t="s">
        <v>328</v>
      </c>
      <c r="H14" s="169"/>
      <c r="I14" s="171">
        <v>996.6</v>
      </c>
      <c r="J14" s="171">
        <v>996.6</v>
      </c>
      <c r="K14" s="171">
        <v>920.5</v>
      </c>
      <c r="L14" s="171">
        <f>2197.5-J14</f>
        <v>1200.9000000000001</v>
      </c>
      <c r="M14" s="171">
        <v>705</v>
      </c>
      <c r="N14" s="171">
        <v>0</v>
      </c>
      <c r="O14" s="171">
        <v>1947.2</v>
      </c>
      <c r="P14" s="171">
        <v>0</v>
      </c>
      <c r="Q14" s="172"/>
      <c r="R14" s="83"/>
      <c r="S14" s="90">
        <v>4569.3</v>
      </c>
      <c r="T14" s="67"/>
      <c r="U14" s="67"/>
      <c r="V14" s="67"/>
      <c r="W14" s="92">
        <f t="shared" si="1"/>
        <v>4569.3</v>
      </c>
      <c r="X14" s="92">
        <f t="shared" si="2"/>
        <v>2197.5</v>
      </c>
      <c r="Y14" s="92">
        <f t="shared" si="4"/>
        <v>2371.8000000000002</v>
      </c>
      <c r="Z14" s="67"/>
      <c r="AA14" s="67"/>
    </row>
    <row r="15" spans="1:27" ht="138" customHeight="1" x14ac:dyDescent="0.25">
      <c r="A15" s="173" t="s">
        <v>37</v>
      </c>
      <c r="B15" s="172" t="s">
        <v>244</v>
      </c>
      <c r="C15" s="170"/>
      <c r="D15" s="172" t="s">
        <v>465</v>
      </c>
      <c r="E15" s="169" t="s">
        <v>328</v>
      </c>
      <c r="F15" s="169" t="s">
        <v>329</v>
      </c>
      <c r="G15" s="169" t="s">
        <v>328</v>
      </c>
      <c r="H15" s="169"/>
      <c r="I15" s="171">
        <v>5512.9</v>
      </c>
      <c r="J15" s="171">
        <v>5512.9</v>
      </c>
      <c r="K15" s="171">
        <v>5438.8</v>
      </c>
      <c r="L15" s="171">
        <f>12700.8-J15</f>
        <v>7187.9</v>
      </c>
      <c r="M15" s="171">
        <v>3600</v>
      </c>
      <c r="N15" s="171">
        <v>0</v>
      </c>
      <c r="O15" s="171">
        <v>7194.3</v>
      </c>
      <c r="P15" s="171">
        <v>0</v>
      </c>
      <c r="Q15" s="172"/>
      <c r="R15" s="83"/>
      <c r="S15" s="90">
        <v>21746</v>
      </c>
      <c r="T15" s="67"/>
      <c r="U15" s="67"/>
      <c r="V15" s="67"/>
      <c r="W15" s="92">
        <f t="shared" si="1"/>
        <v>21746</v>
      </c>
      <c r="X15" s="92">
        <f t="shared" si="2"/>
        <v>12700.8</v>
      </c>
      <c r="Y15" s="92">
        <f t="shared" si="4"/>
        <v>9045.2000000000007</v>
      </c>
      <c r="Z15" s="67"/>
      <c r="AA15" s="67"/>
    </row>
    <row r="16" spans="1:27" ht="273" customHeight="1" x14ac:dyDescent="0.25">
      <c r="A16" s="173" t="s">
        <v>39</v>
      </c>
      <c r="B16" s="172" t="s">
        <v>349</v>
      </c>
      <c r="C16" s="170"/>
      <c r="D16" s="172" t="s">
        <v>465</v>
      </c>
      <c r="E16" s="168">
        <v>43474</v>
      </c>
      <c r="F16" s="169" t="s">
        <v>241</v>
      </c>
      <c r="G16" s="168">
        <v>43474</v>
      </c>
      <c r="H16" s="168"/>
      <c r="I16" s="171">
        <v>9.3000000000000007</v>
      </c>
      <c r="J16" s="171">
        <v>9.3000000000000007</v>
      </c>
      <c r="K16" s="171">
        <v>18624.8</v>
      </c>
      <c r="L16" s="171">
        <f>18634.1-J16</f>
        <v>18624.8</v>
      </c>
      <c r="M16" s="171">
        <v>122</v>
      </c>
      <c r="N16" s="171">
        <v>0</v>
      </c>
      <c r="O16" s="171">
        <v>466.1</v>
      </c>
      <c r="P16" s="171">
        <v>0</v>
      </c>
      <c r="Q16" s="172"/>
      <c r="R16" s="83"/>
      <c r="S16" s="90">
        <v>19222.2</v>
      </c>
      <c r="T16" s="67"/>
      <c r="U16" s="67"/>
      <c r="V16" s="67"/>
      <c r="W16" s="92">
        <f t="shared" si="1"/>
        <v>19222.199999999997</v>
      </c>
      <c r="X16" s="92">
        <f t="shared" si="2"/>
        <v>18634.099999999999</v>
      </c>
      <c r="Y16" s="92">
        <f t="shared" si="4"/>
        <v>588.09999999999854</v>
      </c>
      <c r="Z16" s="67"/>
      <c r="AA16" s="67"/>
    </row>
    <row r="17" spans="1:27" ht="179.25" customHeight="1" x14ac:dyDescent="0.25">
      <c r="A17" s="173" t="s">
        <v>41</v>
      </c>
      <c r="B17" s="172" t="s">
        <v>245</v>
      </c>
      <c r="C17" s="170"/>
      <c r="D17" s="172" t="s">
        <v>458</v>
      </c>
      <c r="E17" s="169" t="s">
        <v>328</v>
      </c>
      <c r="F17" s="169" t="s">
        <v>329</v>
      </c>
      <c r="G17" s="169" t="s">
        <v>328</v>
      </c>
      <c r="H17" s="169"/>
      <c r="I17" s="171">
        <v>45545</v>
      </c>
      <c r="J17" s="171">
        <v>45559.199999999997</v>
      </c>
      <c r="K17" s="171">
        <v>31378.400000000001</v>
      </c>
      <c r="L17" s="171">
        <f>76937.6-J17</f>
        <v>31378.400000000009</v>
      </c>
      <c r="M17" s="171">
        <v>38009.599999999999</v>
      </c>
      <c r="N17" s="171">
        <v>0</v>
      </c>
      <c r="O17" s="171">
        <v>44095.8</v>
      </c>
      <c r="P17" s="171">
        <v>0</v>
      </c>
      <c r="Q17" s="172"/>
      <c r="R17" s="83"/>
      <c r="S17" s="90">
        <v>159028.79999999999</v>
      </c>
      <c r="T17" s="67"/>
      <c r="U17" s="67"/>
      <c r="V17" s="67"/>
      <c r="W17" s="92">
        <f t="shared" si="1"/>
        <v>159028.79999999999</v>
      </c>
      <c r="X17" s="92">
        <f t="shared" si="2"/>
        <v>76937.600000000006</v>
      </c>
      <c r="Y17" s="92">
        <f t="shared" si="4"/>
        <v>82091.199999999983</v>
      </c>
      <c r="Z17" s="67"/>
      <c r="AA17" s="67"/>
    </row>
    <row r="18" spans="1:27" ht="157.5" customHeight="1" x14ac:dyDescent="0.25">
      <c r="A18" s="173" t="s">
        <v>43</v>
      </c>
      <c r="B18" s="172" t="s">
        <v>246</v>
      </c>
      <c r="C18" s="170"/>
      <c r="D18" s="172" t="s">
        <v>465</v>
      </c>
      <c r="E18" s="169" t="s">
        <v>328</v>
      </c>
      <c r="F18" s="169" t="s">
        <v>329</v>
      </c>
      <c r="G18" s="169" t="s">
        <v>328</v>
      </c>
      <c r="H18" s="169"/>
      <c r="I18" s="171">
        <v>37</v>
      </c>
      <c r="J18" s="171">
        <v>37</v>
      </c>
      <c r="K18" s="171">
        <v>33.1</v>
      </c>
      <c r="L18" s="171">
        <f>70.1-J18</f>
        <v>33.099999999999994</v>
      </c>
      <c r="M18" s="171">
        <v>69.599999999999994</v>
      </c>
      <c r="N18" s="171">
        <v>0</v>
      </c>
      <c r="O18" s="171">
        <v>138.5</v>
      </c>
      <c r="P18" s="171">
        <v>0</v>
      </c>
      <c r="Q18" s="172"/>
      <c r="R18" s="83"/>
      <c r="S18" s="90">
        <v>278.2</v>
      </c>
      <c r="T18" s="67"/>
      <c r="U18" s="67"/>
      <c r="V18" s="67"/>
      <c r="W18" s="92">
        <f t="shared" si="1"/>
        <v>278.2</v>
      </c>
      <c r="X18" s="92">
        <f t="shared" si="2"/>
        <v>70.099999999999994</v>
      </c>
      <c r="Y18" s="92">
        <f t="shared" si="4"/>
        <v>208.1</v>
      </c>
      <c r="Z18" s="67"/>
      <c r="AA18" s="67"/>
    </row>
    <row r="19" spans="1:27" ht="376.5" customHeight="1" x14ac:dyDescent="0.25">
      <c r="A19" s="173" t="s">
        <v>45</v>
      </c>
      <c r="B19" s="172" t="s">
        <v>247</v>
      </c>
      <c r="C19" s="170"/>
      <c r="D19" s="172" t="s">
        <v>458</v>
      </c>
      <c r="E19" s="169" t="s">
        <v>328</v>
      </c>
      <c r="F19" s="169" t="s">
        <v>329</v>
      </c>
      <c r="G19" s="169" t="s">
        <v>328</v>
      </c>
      <c r="H19" s="169"/>
      <c r="I19" s="171">
        <v>626799.5</v>
      </c>
      <c r="J19" s="171">
        <v>634065.4</v>
      </c>
      <c r="K19" s="171">
        <v>644295.1</v>
      </c>
      <c r="L19" s="171">
        <f>1294606.6-'План реализации'!J19</f>
        <v>660541.20000000007</v>
      </c>
      <c r="M19" s="171">
        <v>709548.9</v>
      </c>
      <c r="N19" s="171">
        <v>0</v>
      </c>
      <c r="O19" s="171">
        <v>592352.1</v>
      </c>
      <c r="P19" s="171">
        <v>0</v>
      </c>
      <c r="Q19" s="172"/>
      <c r="R19" s="83"/>
      <c r="S19" s="90">
        <v>2572995.6</v>
      </c>
      <c r="T19" s="67"/>
      <c r="U19" s="67"/>
      <c r="V19" s="67"/>
      <c r="W19" s="92">
        <f t="shared" si="1"/>
        <v>2572995.6</v>
      </c>
      <c r="X19" s="92">
        <f t="shared" si="2"/>
        <v>1294606.6000000001</v>
      </c>
      <c r="Y19" s="92">
        <f t="shared" si="4"/>
        <v>1278389</v>
      </c>
      <c r="Z19" s="67"/>
      <c r="AA19" s="67"/>
    </row>
    <row r="20" spans="1:27" ht="271.5" customHeight="1" x14ac:dyDescent="0.25">
      <c r="A20" s="173" t="s">
        <v>47</v>
      </c>
      <c r="B20" s="172" t="s">
        <v>248</v>
      </c>
      <c r="C20" s="170"/>
      <c r="D20" s="172" t="s">
        <v>459</v>
      </c>
      <c r="E20" s="169" t="s">
        <v>328</v>
      </c>
      <c r="F20" s="169" t="s">
        <v>329</v>
      </c>
      <c r="G20" s="169" t="s">
        <v>328</v>
      </c>
      <c r="H20" s="169"/>
      <c r="I20" s="171">
        <v>396560.4</v>
      </c>
      <c r="J20" s="171">
        <v>396971.4</v>
      </c>
      <c r="K20" s="171">
        <v>246633.2</v>
      </c>
      <c r="L20" s="171">
        <f>643275.4-J20</f>
        <v>246304</v>
      </c>
      <c r="M20" s="171">
        <v>164118.39999999999</v>
      </c>
      <c r="N20" s="171">
        <v>0</v>
      </c>
      <c r="O20" s="171">
        <v>386806.4</v>
      </c>
      <c r="P20" s="171">
        <v>0</v>
      </c>
      <c r="Q20" s="172"/>
      <c r="R20" s="83"/>
      <c r="S20" s="90">
        <v>1194118.3999999999</v>
      </c>
      <c r="T20" s="67"/>
      <c r="U20" s="67"/>
      <c r="V20" s="67"/>
      <c r="W20" s="92">
        <f>I20+K20+M20+O20</f>
        <v>1194118.4000000001</v>
      </c>
      <c r="X20" s="92">
        <f t="shared" si="2"/>
        <v>643275.4</v>
      </c>
      <c r="Y20" s="92">
        <f t="shared" si="4"/>
        <v>550843.00000000012</v>
      </c>
      <c r="Z20" s="67"/>
      <c r="AA20" s="67"/>
    </row>
    <row r="21" spans="1:27" ht="409.5" x14ac:dyDescent="0.25">
      <c r="A21" s="173" t="s">
        <v>50</v>
      </c>
      <c r="B21" s="172" t="s">
        <v>249</v>
      </c>
      <c r="C21" s="170"/>
      <c r="D21" s="172" t="s">
        <v>460</v>
      </c>
      <c r="E21" s="169" t="s">
        <v>328</v>
      </c>
      <c r="F21" s="169" t="s">
        <v>329</v>
      </c>
      <c r="G21" s="169" t="s">
        <v>328</v>
      </c>
      <c r="H21" s="169"/>
      <c r="I21" s="171">
        <v>1047129.9</v>
      </c>
      <c r="J21" s="171">
        <v>1064035.8</v>
      </c>
      <c r="K21" s="171">
        <v>795609.2</v>
      </c>
      <c r="L21" s="171">
        <f>1860997.6-J21</f>
        <v>796961.8</v>
      </c>
      <c r="M21" s="171">
        <v>650000</v>
      </c>
      <c r="N21" s="171">
        <v>0</v>
      </c>
      <c r="O21" s="171">
        <v>1473847.2</v>
      </c>
      <c r="P21" s="171">
        <v>0</v>
      </c>
      <c r="Q21" s="172"/>
      <c r="R21" s="83"/>
      <c r="S21" s="90">
        <v>3966586.3</v>
      </c>
      <c r="T21" s="85"/>
      <c r="U21" s="85"/>
      <c r="V21" s="85"/>
      <c r="W21" s="92">
        <f t="shared" si="1"/>
        <v>3966586.3</v>
      </c>
      <c r="X21" s="92">
        <f t="shared" si="2"/>
        <v>1860997.6</v>
      </c>
      <c r="Y21" s="92">
        <f t="shared" si="4"/>
        <v>2105588.6999999997</v>
      </c>
      <c r="Z21" s="85"/>
      <c r="AA21" s="85"/>
    </row>
    <row r="22" spans="1:27" ht="18.75" customHeight="1" x14ac:dyDescent="0.25">
      <c r="A22" s="229" t="s">
        <v>51</v>
      </c>
      <c r="B22" s="216" t="s">
        <v>250</v>
      </c>
      <c r="C22" s="223"/>
      <c r="D22" s="216" t="s">
        <v>469</v>
      </c>
      <c r="E22" s="217">
        <v>43839</v>
      </c>
      <c r="F22" s="218" t="s">
        <v>329</v>
      </c>
      <c r="G22" s="217">
        <v>43839</v>
      </c>
      <c r="H22" s="218"/>
      <c r="I22" s="215">
        <v>4941.5</v>
      </c>
      <c r="J22" s="215">
        <v>5072.3</v>
      </c>
      <c r="K22" s="215">
        <v>4890.6000000000004</v>
      </c>
      <c r="L22" s="215">
        <f>9969-J22</f>
        <v>4896.7</v>
      </c>
      <c r="M22" s="215">
        <v>347.9</v>
      </c>
      <c r="N22" s="215">
        <v>0</v>
      </c>
      <c r="O22" s="215">
        <v>8.1999999999999993</v>
      </c>
      <c r="P22" s="215">
        <v>0</v>
      </c>
      <c r="Q22" s="216"/>
      <c r="R22" s="83"/>
      <c r="S22" s="90">
        <v>10188.200000000001</v>
      </c>
      <c r="T22" s="67"/>
      <c r="U22" s="67"/>
      <c r="V22" s="67"/>
      <c r="W22" s="92">
        <f t="shared" si="1"/>
        <v>10188.200000000001</v>
      </c>
      <c r="X22" s="92">
        <f t="shared" si="2"/>
        <v>9969</v>
      </c>
      <c r="Y22" s="92">
        <f t="shared" si="4"/>
        <v>219.20000000000073</v>
      </c>
      <c r="Z22" s="67"/>
      <c r="AA22" s="67"/>
    </row>
    <row r="23" spans="1:27" ht="215.25" customHeight="1" x14ac:dyDescent="0.25">
      <c r="A23" s="229"/>
      <c r="B23" s="216"/>
      <c r="C23" s="223"/>
      <c r="D23" s="216"/>
      <c r="E23" s="218"/>
      <c r="F23" s="218"/>
      <c r="G23" s="218"/>
      <c r="H23" s="218"/>
      <c r="I23" s="215"/>
      <c r="J23" s="215"/>
      <c r="K23" s="215"/>
      <c r="L23" s="215"/>
      <c r="M23" s="215"/>
      <c r="N23" s="215"/>
      <c r="O23" s="215"/>
      <c r="P23" s="215"/>
      <c r="Q23" s="216"/>
      <c r="R23" s="83"/>
      <c r="S23" s="90"/>
      <c r="T23" s="96">
        <f>J22+L22+N22+P22</f>
        <v>9969</v>
      </c>
      <c r="U23" s="67"/>
      <c r="V23" s="67"/>
      <c r="W23" s="92">
        <f t="shared" si="1"/>
        <v>0</v>
      </c>
      <c r="X23" s="92">
        <f t="shared" si="2"/>
        <v>0</v>
      </c>
      <c r="Y23" s="92">
        <f t="shared" si="4"/>
        <v>0</v>
      </c>
      <c r="Z23" s="67"/>
      <c r="AA23" s="67"/>
    </row>
    <row r="24" spans="1:27" ht="318" customHeight="1" x14ac:dyDescent="0.25">
      <c r="A24" s="175" t="s">
        <v>53</v>
      </c>
      <c r="B24" s="172" t="s">
        <v>251</v>
      </c>
      <c r="C24" s="170"/>
      <c r="D24" s="172" t="s">
        <v>468</v>
      </c>
      <c r="E24" s="217">
        <v>43839</v>
      </c>
      <c r="F24" s="218" t="s">
        <v>329</v>
      </c>
      <c r="G24" s="217">
        <v>43839</v>
      </c>
      <c r="H24" s="218"/>
      <c r="I24" s="171">
        <v>1130005.5</v>
      </c>
      <c r="J24" s="171">
        <v>1141620.3999999999</v>
      </c>
      <c r="K24" s="171">
        <v>824386</v>
      </c>
      <c r="L24" s="171">
        <f>1971856.8-J24</f>
        <v>830236.40000000014</v>
      </c>
      <c r="M24" s="171">
        <v>760000</v>
      </c>
      <c r="N24" s="171">
        <v>0</v>
      </c>
      <c r="O24" s="171">
        <v>1416027.3</v>
      </c>
      <c r="P24" s="171">
        <v>0</v>
      </c>
      <c r="Q24" s="172"/>
      <c r="R24" s="83"/>
      <c r="S24" s="90">
        <v>4130418.8</v>
      </c>
      <c r="T24" s="67"/>
      <c r="U24" s="67"/>
      <c r="V24" s="67"/>
      <c r="W24" s="92">
        <f>I24+K24+M24+O24</f>
        <v>4130418.8</v>
      </c>
      <c r="X24" s="92">
        <f t="shared" si="2"/>
        <v>1971856.8</v>
      </c>
      <c r="Y24" s="92">
        <f t="shared" si="4"/>
        <v>2158562</v>
      </c>
      <c r="Z24" s="67"/>
      <c r="AA24" s="67"/>
    </row>
    <row r="25" spans="1:27" ht="187.5" hidden="1" customHeight="1" x14ac:dyDescent="0.25">
      <c r="A25" s="173" t="s">
        <v>55</v>
      </c>
      <c r="B25" s="172" t="s">
        <v>252</v>
      </c>
      <c r="C25" s="91"/>
      <c r="D25" s="172"/>
      <c r="E25" s="218"/>
      <c r="F25" s="218"/>
      <c r="G25" s="218"/>
      <c r="H25" s="218"/>
      <c r="I25" s="171"/>
      <c r="J25" s="171"/>
      <c r="K25" s="171"/>
      <c r="L25" s="171"/>
      <c r="M25" s="171"/>
      <c r="N25" s="171"/>
      <c r="O25" s="171"/>
      <c r="P25" s="171"/>
      <c r="Q25" s="172"/>
      <c r="R25" s="83"/>
      <c r="S25" s="90"/>
      <c r="T25" s="67"/>
      <c r="U25" s="67"/>
      <c r="V25" s="67"/>
      <c r="W25" s="92">
        <f t="shared" si="1"/>
        <v>0</v>
      </c>
      <c r="X25" s="92">
        <f t="shared" si="2"/>
        <v>0</v>
      </c>
      <c r="Y25" s="92">
        <f t="shared" si="4"/>
        <v>0</v>
      </c>
      <c r="Z25" s="67"/>
      <c r="AA25" s="67"/>
    </row>
    <row r="26" spans="1:27" ht="324" customHeight="1" x14ac:dyDescent="0.25">
      <c r="A26" s="220" t="s">
        <v>56</v>
      </c>
      <c r="B26" s="216" t="s">
        <v>253</v>
      </c>
      <c r="C26" s="223"/>
      <c r="D26" s="216" t="s">
        <v>470</v>
      </c>
      <c r="E26" s="218" t="s">
        <v>328</v>
      </c>
      <c r="F26" s="218" t="s">
        <v>329</v>
      </c>
      <c r="G26" s="218" t="s">
        <v>328</v>
      </c>
      <c r="H26" s="218"/>
      <c r="I26" s="215">
        <v>1286.5</v>
      </c>
      <c r="J26" s="215">
        <v>1286.5</v>
      </c>
      <c r="K26" s="215">
        <v>1290.9000000000001</v>
      </c>
      <c r="L26" s="215">
        <f>2960.8-J26</f>
        <v>1674.3000000000002</v>
      </c>
      <c r="M26" s="215">
        <v>860</v>
      </c>
      <c r="N26" s="215">
        <v>0</v>
      </c>
      <c r="O26" s="215">
        <v>2215.1</v>
      </c>
      <c r="P26" s="215">
        <v>0</v>
      </c>
      <c r="Q26" s="216"/>
      <c r="R26" s="83"/>
      <c r="S26" s="90">
        <v>5652.5</v>
      </c>
      <c r="T26" s="67"/>
      <c r="U26" s="67"/>
      <c r="V26" s="67"/>
      <c r="W26" s="92">
        <f t="shared" si="1"/>
        <v>5652.5</v>
      </c>
      <c r="X26" s="92">
        <f t="shared" si="2"/>
        <v>2960.8</v>
      </c>
      <c r="Y26" s="92">
        <f t="shared" si="4"/>
        <v>2691.7</v>
      </c>
      <c r="Z26" s="67"/>
      <c r="AA26" s="67"/>
    </row>
    <row r="27" spans="1:27" ht="240.75" customHeight="1" x14ac:dyDescent="0.25">
      <c r="A27" s="220"/>
      <c r="B27" s="216"/>
      <c r="C27" s="223"/>
      <c r="D27" s="216"/>
      <c r="E27" s="218"/>
      <c r="F27" s="218"/>
      <c r="G27" s="218"/>
      <c r="H27" s="218"/>
      <c r="I27" s="215"/>
      <c r="J27" s="215"/>
      <c r="K27" s="215"/>
      <c r="L27" s="215"/>
      <c r="M27" s="215"/>
      <c r="N27" s="215"/>
      <c r="O27" s="215"/>
      <c r="P27" s="215"/>
      <c r="Q27" s="216"/>
      <c r="R27" s="83"/>
      <c r="S27" s="90"/>
      <c r="T27" s="67"/>
      <c r="U27" s="67"/>
      <c r="V27" s="67"/>
      <c r="W27" s="92">
        <f t="shared" si="1"/>
        <v>0</v>
      </c>
      <c r="X27" s="92">
        <f t="shared" si="2"/>
        <v>0</v>
      </c>
      <c r="Y27" s="92">
        <f t="shared" si="4"/>
        <v>0</v>
      </c>
      <c r="Z27" s="67"/>
      <c r="AA27" s="67"/>
    </row>
    <row r="28" spans="1:27" ht="409.5" customHeight="1" x14ac:dyDescent="0.25">
      <c r="A28" s="176" t="s">
        <v>58</v>
      </c>
      <c r="B28" s="172" t="s">
        <v>472</v>
      </c>
      <c r="C28" s="172"/>
      <c r="D28" s="172" t="s">
        <v>471</v>
      </c>
      <c r="E28" s="169" t="s">
        <v>328</v>
      </c>
      <c r="F28" s="169" t="s">
        <v>329</v>
      </c>
      <c r="G28" s="169" t="s">
        <v>328</v>
      </c>
      <c r="H28" s="169"/>
      <c r="I28" s="171">
        <v>2817.2</v>
      </c>
      <c r="J28" s="171">
        <v>2826.3</v>
      </c>
      <c r="K28" s="171">
        <v>2828.9</v>
      </c>
      <c r="L28" s="171">
        <f>6352-J28</f>
        <v>3525.7</v>
      </c>
      <c r="M28" s="171">
        <v>2805</v>
      </c>
      <c r="N28" s="171">
        <v>0</v>
      </c>
      <c r="O28" s="171">
        <v>3824.3</v>
      </c>
      <c r="P28" s="171">
        <v>0</v>
      </c>
      <c r="Q28" s="172"/>
      <c r="R28" s="83"/>
      <c r="S28" s="90">
        <v>12275.4</v>
      </c>
      <c r="T28" s="97"/>
      <c r="U28" s="97"/>
      <c r="V28" s="97"/>
      <c r="W28" s="92">
        <f t="shared" si="1"/>
        <v>12275.400000000001</v>
      </c>
      <c r="X28" s="92">
        <f t="shared" si="2"/>
        <v>6352</v>
      </c>
      <c r="Y28" s="92">
        <f t="shared" si="4"/>
        <v>5923.4000000000015</v>
      </c>
      <c r="Z28" s="97"/>
      <c r="AA28" s="97"/>
    </row>
    <row r="29" spans="1:27" ht="121.5" customHeight="1" x14ac:dyDescent="0.25">
      <c r="A29" s="173" t="s">
        <v>60</v>
      </c>
      <c r="B29" s="172" t="s">
        <v>254</v>
      </c>
      <c r="C29" s="170"/>
      <c r="D29" s="172" t="s">
        <v>473</v>
      </c>
      <c r="E29" s="169" t="s">
        <v>328</v>
      </c>
      <c r="F29" s="169" t="s">
        <v>329</v>
      </c>
      <c r="G29" s="169" t="s">
        <v>328</v>
      </c>
      <c r="H29" s="169"/>
      <c r="I29" s="171">
        <v>622.70000000000005</v>
      </c>
      <c r="J29" s="171">
        <v>698.7</v>
      </c>
      <c r="K29" s="171">
        <v>933.1</v>
      </c>
      <c r="L29" s="171">
        <f>1560.5-J29</f>
        <v>861.8</v>
      </c>
      <c r="M29" s="171">
        <v>900</v>
      </c>
      <c r="N29" s="171">
        <v>0</v>
      </c>
      <c r="O29" s="171">
        <v>1225.2</v>
      </c>
      <c r="P29" s="171">
        <v>0</v>
      </c>
      <c r="Q29" s="172"/>
      <c r="R29" s="83"/>
      <c r="S29" s="90">
        <v>3681</v>
      </c>
      <c r="T29" s="67"/>
      <c r="U29" s="67"/>
      <c r="V29" s="67"/>
      <c r="W29" s="92">
        <f t="shared" si="1"/>
        <v>3681</v>
      </c>
      <c r="X29" s="92">
        <f t="shared" si="2"/>
        <v>1560.5</v>
      </c>
      <c r="Y29" s="92">
        <f t="shared" si="4"/>
        <v>2120.5</v>
      </c>
      <c r="Z29" s="67"/>
      <c r="AA29" s="67"/>
    </row>
    <row r="30" spans="1:27" ht="352.5" customHeight="1" x14ac:dyDescent="0.25">
      <c r="A30" s="173" t="s">
        <v>63</v>
      </c>
      <c r="B30" s="172" t="s">
        <v>332</v>
      </c>
      <c r="C30" s="170"/>
      <c r="D30" s="172" t="s">
        <v>471</v>
      </c>
      <c r="E30" s="169" t="s">
        <v>328</v>
      </c>
      <c r="F30" s="169" t="s">
        <v>329</v>
      </c>
      <c r="G30" s="169" t="s">
        <v>328</v>
      </c>
      <c r="H30" s="169"/>
      <c r="I30" s="171">
        <v>21.5</v>
      </c>
      <c r="J30" s="171">
        <v>21.5</v>
      </c>
      <c r="K30" s="171">
        <v>8</v>
      </c>
      <c r="L30" s="171">
        <f>29.5-J30</f>
        <v>8</v>
      </c>
      <c r="M30" s="171">
        <v>20.8</v>
      </c>
      <c r="N30" s="171">
        <v>0</v>
      </c>
      <c r="O30" s="171">
        <v>32.9</v>
      </c>
      <c r="P30" s="171">
        <v>0</v>
      </c>
      <c r="Q30" s="172"/>
      <c r="R30" s="83"/>
      <c r="S30" s="90">
        <v>83.2</v>
      </c>
      <c r="T30" s="67"/>
      <c r="U30" s="67"/>
      <c r="V30" s="67"/>
      <c r="W30" s="92">
        <f t="shared" si="1"/>
        <v>83.199999999999989</v>
      </c>
      <c r="X30" s="92">
        <f t="shared" si="2"/>
        <v>29.5</v>
      </c>
      <c r="Y30" s="92">
        <f t="shared" si="4"/>
        <v>53.699999999999989</v>
      </c>
      <c r="Z30" s="67"/>
      <c r="AA30" s="67"/>
    </row>
    <row r="31" spans="1:27" ht="18.75" customHeight="1" x14ac:dyDescent="0.25">
      <c r="A31" s="220" t="s">
        <v>64</v>
      </c>
      <c r="B31" s="216" t="s">
        <v>255</v>
      </c>
      <c r="C31" s="223"/>
      <c r="D31" s="216" t="s">
        <v>471</v>
      </c>
      <c r="E31" s="218" t="s">
        <v>330</v>
      </c>
      <c r="F31" s="237" t="s">
        <v>329</v>
      </c>
      <c r="G31" s="218" t="s">
        <v>330</v>
      </c>
      <c r="H31" s="218"/>
      <c r="I31" s="215">
        <v>475.6</v>
      </c>
      <c r="J31" s="215">
        <v>475.6</v>
      </c>
      <c r="K31" s="215">
        <v>89.7</v>
      </c>
      <c r="L31" s="215">
        <f>565.3-J31</f>
        <v>89.699999999999932</v>
      </c>
      <c r="M31" s="215">
        <v>200</v>
      </c>
      <c r="N31" s="215">
        <v>0</v>
      </c>
      <c r="O31" s="215">
        <v>129.69999999999999</v>
      </c>
      <c r="P31" s="215">
        <v>0</v>
      </c>
      <c r="Q31" s="216"/>
      <c r="R31" s="83"/>
      <c r="S31" s="90">
        <v>895</v>
      </c>
      <c r="T31" s="67"/>
      <c r="U31" s="67"/>
      <c r="V31" s="67"/>
      <c r="W31" s="92">
        <f t="shared" si="1"/>
        <v>895</v>
      </c>
      <c r="X31" s="92">
        <f t="shared" si="2"/>
        <v>565.29999999999995</v>
      </c>
      <c r="Y31" s="92">
        <f t="shared" si="4"/>
        <v>329.70000000000005</v>
      </c>
      <c r="Z31" s="67"/>
      <c r="AA31" s="67"/>
    </row>
    <row r="32" spans="1:27" ht="394.5" customHeight="1" x14ac:dyDescent="0.25">
      <c r="A32" s="220"/>
      <c r="B32" s="216"/>
      <c r="C32" s="223"/>
      <c r="D32" s="216"/>
      <c r="E32" s="218"/>
      <c r="F32" s="238"/>
      <c r="G32" s="218"/>
      <c r="H32" s="218"/>
      <c r="I32" s="215"/>
      <c r="J32" s="215"/>
      <c r="K32" s="215"/>
      <c r="L32" s="215"/>
      <c r="M32" s="215"/>
      <c r="N32" s="215"/>
      <c r="O32" s="215"/>
      <c r="P32" s="215"/>
      <c r="Q32" s="216"/>
      <c r="R32" s="83"/>
      <c r="S32" s="90"/>
      <c r="T32" s="67"/>
      <c r="U32" s="67"/>
      <c r="V32" s="67"/>
      <c r="W32" s="92">
        <f t="shared" si="1"/>
        <v>0</v>
      </c>
      <c r="X32" s="92">
        <f t="shared" si="2"/>
        <v>0</v>
      </c>
      <c r="Y32" s="92">
        <f t="shared" si="4"/>
        <v>0</v>
      </c>
      <c r="Z32" s="67"/>
      <c r="AA32" s="67"/>
    </row>
    <row r="33" spans="1:27" ht="387" customHeight="1" x14ac:dyDescent="0.25">
      <c r="A33" s="243" t="s">
        <v>65</v>
      </c>
      <c r="B33" s="245" t="s">
        <v>557</v>
      </c>
      <c r="C33" s="241"/>
      <c r="D33" s="241" t="s">
        <v>471</v>
      </c>
      <c r="E33" s="235" t="s">
        <v>330</v>
      </c>
      <c r="F33" s="235" t="s">
        <v>329</v>
      </c>
      <c r="G33" s="235" t="s">
        <v>330</v>
      </c>
      <c r="H33" s="235"/>
      <c r="I33" s="239">
        <v>357.6</v>
      </c>
      <c r="J33" s="239">
        <v>357.6</v>
      </c>
      <c r="K33" s="239">
        <v>294.89999999999998</v>
      </c>
      <c r="L33" s="239">
        <f>657.1-J33</f>
        <v>299.5</v>
      </c>
      <c r="M33" s="215">
        <v>1000</v>
      </c>
      <c r="N33" s="239">
        <v>0</v>
      </c>
      <c r="O33" s="239">
        <v>1429.5</v>
      </c>
      <c r="P33" s="239">
        <v>0</v>
      </c>
      <c r="Q33" s="241"/>
      <c r="R33" s="83"/>
      <c r="S33" s="90">
        <v>3082</v>
      </c>
      <c r="T33" s="67"/>
      <c r="U33" s="67"/>
      <c r="V33" s="67"/>
      <c r="W33" s="92">
        <f t="shared" si="1"/>
        <v>3082</v>
      </c>
      <c r="X33" s="92">
        <f t="shared" si="2"/>
        <v>657.1</v>
      </c>
      <c r="Y33" s="92">
        <f t="shared" si="4"/>
        <v>2424.9</v>
      </c>
      <c r="Z33" s="67"/>
      <c r="AA33" s="67"/>
    </row>
    <row r="34" spans="1:27" ht="301.5" customHeight="1" x14ac:dyDescent="0.25">
      <c r="A34" s="244"/>
      <c r="B34" s="246"/>
      <c r="C34" s="242"/>
      <c r="D34" s="242"/>
      <c r="E34" s="236"/>
      <c r="F34" s="236"/>
      <c r="G34" s="236"/>
      <c r="H34" s="236"/>
      <c r="I34" s="240"/>
      <c r="J34" s="240"/>
      <c r="K34" s="240"/>
      <c r="L34" s="240"/>
      <c r="M34" s="215"/>
      <c r="N34" s="240"/>
      <c r="O34" s="240"/>
      <c r="P34" s="240"/>
      <c r="Q34" s="242"/>
      <c r="R34" s="83"/>
      <c r="S34" s="90"/>
      <c r="T34" s="67"/>
      <c r="U34" s="67"/>
      <c r="V34" s="67"/>
      <c r="W34" s="92">
        <f t="shared" si="1"/>
        <v>0</v>
      </c>
      <c r="X34" s="92">
        <f t="shared" si="2"/>
        <v>0</v>
      </c>
      <c r="Y34" s="92">
        <f t="shared" si="4"/>
        <v>0</v>
      </c>
      <c r="Z34" s="67"/>
      <c r="AA34" s="67"/>
    </row>
    <row r="35" spans="1:27" ht="219" customHeight="1" x14ac:dyDescent="0.25">
      <c r="A35" s="173" t="s">
        <v>67</v>
      </c>
      <c r="B35" s="172" t="s">
        <v>475</v>
      </c>
      <c r="C35" s="170"/>
      <c r="D35" s="172" t="s">
        <v>474</v>
      </c>
      <c r="E35" s="169" t="s">
        <v>328</v>
      </c>
      <c r="F35" s="169" t="s">
        <v>329</v>
      </c>
      <c r="G35" s="169" t="s">
        <v>328</v>
      </c>
      <c r="H35" s="169"/>
      <c r="I35" s="171">
        <v>8824.9</v>
      </c>
      <c r="J35" s="171">
        <v>9067.2000000000007</v>
      </c>
      <c r="K35" s="171">
        <v>4384.2</v>
      </c>
      <c r="L35" s="171">
        <f>13687.8-J35</f>
        <v>4620.5999999999985</v>
      </c>
      <c r="M35" s="171">
        <v>9029.1</v>
      </c>
      <c r="N35" s="171">
        <v>0</v>
      </c>
      <c r="O35" s="171">
        <v>13878.1</v>
      </c>
      <c r="P35" s="171">
        <v>0</v>
      </c>
      <c r="Q35" s="172"/>
      <c r="R35" s="83"/>
      <c r="S35" s="90">
        <v>36116.300000000003</v>
      </c>
      <c r="T35" s="67"/>
      <c r="U35" s="67"/>
      <c r="V35" s="67"/>
      <c r="W35" s="92">
        <f t="shared" si="1"/>
        <v>36116.299999999996</v>
      </c>
      <c r="X35" s="92">
        <f t="shared" si="2"/>
        <v>13687.8</v>
      </c>
      <c r="Y35" s="92">
        <f t="shared" si="4"/>
        <v>22428.499999999996</v>
      </c>
      <c r="Z35" s="67"/>
      <c r="AA35" s="67"/>
    </row>
    <row r="36" spans="1:27" ht="143.25" customHeight="1" x14ac:dyDescent="0.25">
      <c r="A36" s="173" t="s">
        <v>69</v>
      </c>
      <c r="B36" s="172" t="s">
        <v>256</v>
      </c>
      <c r="C36" s="170"/>
      <c r="D36" s="172" t="s">
        <v>471</v>
      </c>
      <c r="E36" s="168">
        <v>43922</v>
      </c>
      <c r="F36" s="169" t="s">
        <v>329</v>
      </c>
      <c r="G36" s="168">
        <v>44013</v>
      </c>
      <c r="H36" s="169"/>
      <c r="I36" s="171">
        <v>0</v>
      </c>
      <c r="J36" s="171">
        <v>0</v>
      </c>
      <c r="K36" s="171">
        <v>0</v>
      </c>
      <c r="L36" s="171">
        <v>0</v>
      </c>
      <c r="M36" s="171">
        <v>9.4</v>
      </c>
      <c r="N36" s="171">
        <v>0</v>
      </c>
      <c r="O36" s="171">
        <v>28.4</v>
      </c>
      <c r="P36" s="171">
        <v>0</v>
      </c>
      <c r="Q36" s="172"/>
      <c r="R36" s="83"/>
      <c r="S36" s="90">
        <v>37.799999999999997</v>
      </c>
      <c r="T36" s="67"/>
      <c r="U36" s="67"/>
      <c r="V36" s="67"/>
      <c r="W36" s="92">
        <f t="shared" ref="W36:W62" si="5">I36+K36+M36+O36</f>
        <v>37.799999999999997</v>
      </c>
      <c r="X36" s="92">
        <f t="shared" ref="X36:X62" si="6">J36+L36+N36+P36</f>
        <v>0</v>
      </c>
      <c r="Y36" s="92">
        <f t="shared" si="4"/>
        <v>37.799999999999997</v>
      </c>
      <c r="Z36" s="67"/>
      <c r="AA36" s="67"/>
    </row>
    <row r="37" spans="1:27" ht="135.75" customHeight="1" x14ac:dyDescent="0.25">
      <c r="A37" s="173" t="s">
        <v>71</v>
      </c>
      <c r="B37" s="172" t="s">
        <v>257</v>
      </c>
      <c r="C37" s="170"/>
      <c r="D37" s="172" t="s">
        <v>471</v>
      </c>
      <c r="E37" s="168">
        <v>43922</v>
      </c>
      <c r="F37" s="168">
        <v>44196</v>
      </c>
      <c r="G37" s="168">
        <v>43922</v>
      </c>
      <c r="H37" s="168"/>
      <c r="I37" s="171">
        <v>0</v>
      </c>
      <c r="J37" s="171">
        <v>0</v>
      </c>
      <c r="K37" s="171">
        <v>15</v>
      </c>
      <c r="L37" s="171">
        <v>15</v>
      </c>
      <c r="M37" s="171">
        <v>50</v>
      </c>
      <c r="N37" s="171">
        <v>0</v>
      </c>
      <c r="O37" s="171">
        <v>132.5</v>
      </c>
      <c r="P37" s="171">
        <v>0</v>
      </c>
      <c r="Q37" s="172"/>
      <c r="R37" s="83"/>
      <c r="S37" s="90">
        <v>197.5</v>
      </c>
      <c r="T37" s="67"/>
      <c r="U37" s="67"/>
      <c r="V37" s="67"/>
      <c r="W37" s="92">
        <f t="shared" si="5"/>
        <v>197.5</v>
      </c>
      <c r="X37" s="92">
        <f t="shared" si="6"/>
        <v>15</v>
      </c>
      <c r="Y37" s="92">
        <f t="shared" si="4"/>
        <v>182.5</v>
      </c>
      <c r="Z37" s="67"/>
      <c r="AA37" s="67"/>
    </row>
    <row r="38" spans="1:27" ht="202.5" customHeight="1" x14ac:dyDescent="0.25">
      <c r="A38" s="173" t="s">
        <v>73</v>
      </c>
      <c r="B38" s="172" t="s">
        <v>258</v>
      </c>
      <c r="C38" s="170"/>
      <c r="D38" s="172" t="s">
        <v>471</v>
      </c>
      <c r="E38" s="168">
        <v>43839</v>
      </c>
      <c r="F38" s="168">
        <v>44196</v>
      </c>
      <c r="G38" s="168">
        <v>43839</v>
      </c>
      <c r="H38" s="168"/>
      <c r="I38" s="171">
        <v>312419.8</v>
      </c>
      <c r="J38" s="171">
        <v>312501.5</v>
      </c>
      <c r="K38" s="171">
        <v>1651.2</v>
      </c>
      <c r="L38" s="171">
        <f>314085.5-J38</f>
        <v>1584</v>
      </c>
      <c r="M38" s="171">
        <v>2500</v>
      </c>
      <c r="N38" s="171">
        <v>0</v>
      </c>
      <c r="O38" s="171">
        <v>8750.6</v>
      </c>
      <c r="P38" s="171">
        <v>0</v>
      </c>
      <c r="Q38" s="172"/>
      <c r="R38" s="83"/>
      <c r="S38" s="90">
        <v>325321.59999999998</v>
      </c>
      <c r="T38" s="67"/>
      <c r="U38" s="67"/>
      <c r="V38" s="67"/>
      <c r="W38" s="92">
        <f t="shared" si="5"/>
        <v>325321.59999999998</v>
      </c>
      <c r="X38" s="92">
        <f t="shared" si="6"/>
        <v>314085.5</v>
      </c>
      <c r="Y38" s="92">
        <f t="shared" si="4"/>
        <v>11236.099999999977</v>
      </c>
      <c r="Z38" s="67"/>
      <c r="AA38" s="67"/>
    </row>
    <row r="39" spans="1:27" ht="252" customHeight="1" x14ac:dyDescent="0.25">
      <c r="A39" s="220" t="s">
        <v>74</v>
      </c>
      <c r="B39" s="216" t="s">
        <v>259</v>
      </c>
      <c r="C39" s="223"/>
      <c r="D39" s="216" t="s">
        <v>471</v>
      </c>
      <c r="E39" s="217">
        <v>43839</v>
      </c>
      <c r="F39" s="217">
        <v>44196</v>
      </c>
      <c r="G39" s="217">
        <v>43839</v>
      </c>
      <c r="H39" s="217"/>
      <c r="I39" s="215">
        <v>24468.6</v>
      </c>
      <c r="J39" s="215">
        <v>24468.6</v>
      </c>
      <c r="K39" s="215">
        <v>24118.799999999999</v>
      </c>
      <c r="L39" s="215">
        <f>56028.3-J39</f>
        <v>31559.700000000004</v>
      </c>
      <c r="M39" s="215">
        <v>22385.1</v>
      </c>
      <c r="N39" s="215">
        <v>0</v>
      </c>
      <c r="O39" s="215">
        <v>18568</v>
      </c>
      <c r="P39" s="215">
        <v>0</v>
      </c>
      <c r="Q39" s="216"/>
      <c r="R39" s="83"/>
      <c r="S39" s="90">
        <v>89540.5</v>
      </c>
      <c r="T39" s="67"/>
      <c r="U39" s="67"/>
      <c r="V39" s="67"/>
      <c r="W39" s="92">
        <f t="shared" si="5"/>
        <v>89540.5</v>
      </c>
      <c r="X39" s="92">
        <f t="shared" si="6"/>
        <v>56028.3</v>
      </c>
      <c r="Y39" s="92">
        <f t="shared" si="4"/>
        <v>33512.199999999997</v>
      </c>
      <c r="Z39" s="67"/>
      <c r="AA39" s="67"/>
    </row>
    <row r="40" spans="1:27" ht="126" customHeight="1" x14ac:dyDescent="0.25">
      <c r="A40" s="220"/>
      <c r="B40" s="216"/>
      <c r="C40" s="223"/>
      <c r="D40" s="216"/>
      <c r="E40" s="218"/>
      <c r="F40" s="218"/>
      <c r="G40" s="217"/>
      <c r="H40" s="218"/>
      <c r="I40" s="215"/>
      <c r="J40" s="215"/>
      <c r="K40" s="215"/>
      <c r="L40" s="215"/>
      <c r="M40" s="215"/>
      <c r="N40" s="215"/>
      <c r="O40" s="215">
        <v>0</v>
      </c>
      <c r="P40" s="215"/>
      <c r="Q40" s="216"/>
      <c r="R40" s="83"/>
      <c r="S40" s="90"/>
      <c r="T40" s="67"/>
      <c r="U40" s="67"/>
      <c r="V40" s="67"/>
      <c r="W40" s="92">
        <f t="shared" si="5"/>
        <v>0</v>
      </c>
      <c r="X40" s="92">
        <f t="shared" si="6"/>
        <v>0</v>
      </c>
      <c r="Y40" s="92">
        <f t="shared" si="4"/>
        <v>0</v>
      </c>
      <c r="Z40" s="67"/>
      <c r="AA40" s="67"/>
    </row>
    <row r="41" spans="1:27" ht="409.5" customHeight="1" x14ac:dyDescent="0.25">
      <c r="A41" s="220" t="s">
        <v>75</v>
      </c>
      <c r="B41" s="216" t="s">
        <v>333</v>
      </c>
      <c r="C41" s="223"/>
      <c r="D41" s="216" t="s">
        <v>476</v>
      </c>
      <c r="E41" s="217">
        <v>43839</v>
      </c>
      <c r="F41" s="217">
        <v>44196</v>
      </c>
      <c r="G41" s="217">
        <v>43839</v>
      </c>
      <c r="H41" s="217"/>
      <c r="I41" s="215">
        <v>80.099999999999994</v>
      </c>
      <c r="J41" s="215">
        <v>80.099999999999994</v>
      </c>
      <c r="K41" s="215">
        <v>87.5</v>
      </c>
      <c r="L41" s="215">
        <f>167.6-J41</f>
        <v>87.5</v>
      </c>
      <c r="M41" s="215">
        <v>457.6</v>
      </c>
      <c r="N41" s="215">
        <v>0</v>
      </c>
      <c r="O41" s="215">
        <v>1205.4000000000001</v>
      </c>
      <c r="P41" s="215">
        <v>0</v>
      </c>
      <c r="Q41" s="216"/>
      <c r="R41" s="83"/>
      <c r="S41" s="90">
        <v>1830.6</v>
      </c>
      <c r="T41" s="67"/>
      <c r="U41" s="67"/>
      <c r="V41" s="67"/>
      <c r="W41" s="92">
        <f t="shared" si="5"/>
        <v>1830.6000000000001</v>
      </c>
      <c r="X41" s="92">
        <f t="shared" si="6"/>
        <v>167.6</v>
      </c>
      <c r="Y41" s="92">
        <f t="shared" si="4"/>
        <v>1663.0000000000002</v>
      </c>
      <c r="Z41" s="67"/>
      <c r="AA41" s="67"/>
    </row>
    <row r="42" spans="1:27" ht="33" customHeight="1" x14ac:dyDescent="0.25">
      <c r="A42" s="220"/>
      <c r="B42" s="216"/>
      <c r="C42" s="223"/>
      <c r="D42" s="216"/>
      <c r="E42" s="218"/>
      <c r="F42" s="218"/>
      <c r="G42" s="217"/>
      <c r="H42" s="218"/>
      <c r="I42" s="215"/>
      <c r="J42" s="215"/>
      <c r="K42" s="215"/>
      <c r="L42" s="215"/>
      <c r="M42" s="215"/>
      <c r="N42" s="215"/>
      <c r="O42" s="215">
        <v>0</v>
      </c>
      <c r="P42" s="215"/>
      <c r="Q42" s="216"/>
      <c r="R42" s="83"/>
      <c r="S42" s="90"/>
      <c r="T42" s="67"/>
      <c r="U42" s="67"/>
      <c r="V42" s="67"/>
      <c r="W42" s="92">
        <f t="shared" si="5"/>
        <v>0</v>
      </c>
      <c r="X42" s="92">
        <f t="shared" si="6"/>
        <v>0</v>
      </c>
      <c r="Y42" s="92">
        <f t="shared" si="4"/>
        <v>0</v>
      </c>
      <c r="Z42" s="67"/>
      <c r="AA42" s="67"/>
    </row>
    <row r="43" spans="1:27" ht="408.75" customHeight="1" x14ac:dyDescent="0.25">
      <c r="A43" s="220" t="s">
        <v>76</v>
      </c>
      <c r="B43" s="216" t="s">
        <v>477</v>
      </c>
      <c r="C43" s="223"/>
      <c r="D43" s="216" t="s">
        <v>471</v>
      </c>
      <c r="E43" s="217">
        <v>43839</v>
      </c>
      <c r="F43" s="217">
        <v>44196</v>
      </c>
      <c r="G43" s="217">
        <v>43839</v>
      </c>
      <c r="H43" s="217"/>
      <c r="I43" s="215">
        <v>4381</v>
      </c>
      <c r="J43" s="215">
        <v>4381</v>
      </c>
      <c r="K43" s="215">
        <v>4380.6000000000004</v>
      </c>
      <c r="L43" s="215">
        <f>9188.3-J43</f>
        <v>4807.2999999999993</v>
      </c>
      <c r="M43" s="215">
        <v>4384.8</v>
      </c>
      <c r="N43" s="171">
        <v>0</v>
      </c>
      <c r="O43" s="215">
        <v>4392.8</v>
      </c>
      <c r="P43" s="215">
        <v>0</v>
      </c>
      <c r="Q43" s="216"/>
      <c r="R43" s="83"/>
      <c r="S43" s="90">
        <v>17539.2</v>
      </c>
      <c r="T43" s="67"/>
      <c r="U43" s="67"/>
      <c r="V43" s="67"/>
      <c r="W43" s="92">
        <f t="shared" si="5"/>
        <v>17539.2</v>
      </c>
      <c r="X43" s="92">
        <f t="shared" si="6"/>
        <v>9188.2999999999993</v>
      </c>
      <c r="Y43" s="92">
        <f t="shared" si="4"/>
        <v>8350.9000000000015</v>
      </c>
      <c r="Z43" s="67"/>
      <c r="AA43" s="67"/>
    </row>
    <row r="44" spans="1:27" ht="17.25" customHeight="1" x14ac:dyDescent="0.25">
      <c r="A44" s="220"/>
      <c r="B44" s="216"/>
      <c r="C44" s="223"/>
      <c r="D44" s="216"/>
      <c r="E44" s="218"/>
      <c r="F44" s="218"/>
      <c r="G44" s="217"/>
      <c r="H44" s="218"/>
      <c r="I44" s="215"/>
      <c r="J44" s="215"/>
      <c r="K44" s="215"/>
      <c r="L44" s="215"/>
      <c r="M44" s="215"/>
      <c r="N44" s="171"/>
      <c r="O44" s="215">
        <v>0</v>
      </c>
      <c r="P44" s="215"/>
      <c r="Q44" s="216"/>
      <c r="R44" s="83"/>
      <c r="S44" s="90"/>
      <c r="T44" s="67"/>
      <c r="U44" s="67"/>
      <c r="V44" s="67"/>
      <c r="W44" s="92">
        <f t="shared" si="5"/>
        <v>0</v>
      </c>
      <c r="X44" s="92">
        <f t="shared" si="6"/>
        <v>0</v>
      </c>
      <c r="Y44" s="92">
        <f t="shared" si="4"/>
        <v>0</v>
      </c>
      <c r="Z44" s="67"/>
      <c r="AA44" s="67"/>
    </row>
    <row r="45" spans="1:27" ht="399" customHeight="1" x14ac:dyDescent="0.25">
      <c r="A45" s="173" t="s">
        <v>77</v>
      </c>
      <c r="B45" s="172" t="s">
        <v>479</v>
      </c>
      <c r="C45" s="170"/>
      <c r="D45" s="172" t="s">
        <v>478</v>
      </c>
      <c r="E45" s="169" t="s">
        <v>331</v>
      </c>
      <c r="F45" s="169" t="s">
        <v>329</v>
      </c>
      <c r="G45" s="168">
        <v>43839</v>
      </c>
      <c r="H45" s="168"/>
      <c r="I45" s="171">
        <v>27.6</v>
      </c>
      <c r="J45" s="171">
        <v>27.6</v>
      </c>
      <c r="K45" s="171">
        <v>86.8</v>
      </c>
      <c r="L45" s="171">
        <f>125.6-J45</f>
        <v>98</v>
      </c>
      <c r="M45" s="171">
        <v>15</v>
      </c>
      <c r="N45" s="171">
        <v>0</v>
      </c>
      <c r="O45" s="171">
        <v>9.6999999999999993</v>
      </c>
      <c r="P45" s="171">
        <v>0</v>
      </c>
      <c r="Q45" s="172"/>
      <c r="R45" s="83"/>
      <c r="S45" s="90">
        <v>139.1</v>
      </c>
      <c r="T45" s="67"/>
      <c r="U45" s="67"/>
      <c r="V45" s="67"/>
      <c r="W45" s="92">
        <f t="shared" si="5"/>
        <v>139.1</v>
      </c>
      <c r="X45" s="92">
        <f t="shared" si="6"/>
        <v>125.6</v>
      </c>
      <c r="Y45" s="92">
        <f t="shared" si="4"/>
        <v>13.5</v>
      </c>
      <c r="Z45" s="67"/>
      <c r="AA45" s="67"/>
    </row>
    <row r="46" spans="1:27" ht="218.25" customHeight="1" x14ac:dyDescent="0.25">
      <c r="A46" s="173" t="s">
        <v>78</v>
      </c>
      <c r="B46" s="172" t="s">
        <v>260</v>
      </c>
      <c r="C46" s="170"/>
      <c r="D46" s="172" t="s">
        <v>473</v>
      </c>
      <c r="E46" s="168">
        <v>43839</v>
      </c>
      <c r="F46" s="168">
        <v>44196</v>
      </c>
      <c r="G46" s="168">
        <v>43839</v>
      </c>
      <c r="H46" s="168"/>
      <c r="I46" s="171">
        <v>11785</v>
      </c>
      <c r="J46" s="171">
        <v>11785</v>
      </c>
      <c r="K46" s="171">
        <v>11179.3</v>
      </c>
      <c r="L46" s="171">
        <f>25876.6-J46</f>
        <v>14091.599999999999</v>
      </c>
      <c r="M46" s="171">
        <v>11744.6</v>
      </c>
      <c r="N46" s="171">
        <v>0</v>
      </c>
      <c r="O46" s="171">
        <v>12269.6</v>
      </c>
      <c r="P46" s="171">
        <v>0</v>
      </c>
      <c r="Q46" s="172"/>
      <c r="R46" s="83"/>
      <c r="S46" s="90">
        <v>46978.5</v>
      </c>
      <c r="T46" s="67"/>
      <c r="U46" s="67"/>
      <c r="V46" s="67"/>
      <c r="W46" s="92">
        <f t="shared" si="5"/>
        <v>46978.5</v>
      </c>
      <c r="X46" s="92">
        <f t="shared" si="6"/>
        <v>25876.6</v>
      </c>
      <c r="Y46" s="92">
        <f t="shared" si="4"/>
        <v>21101.9</v>
      </c>
      <c r="Z46" s="67"/>
      <c r="AA46" s="67"/>
    </row>
    <row r="47" spans="1:27" ht="18.75" x14ac:dyDescent="0.25">
      <c r="A47" s="220" t="s">
        <v>79</v>
      </c>
      <c r="B47" s="216" t="s">
        <v>481</v>
      </c>
      <c r="C47" s="223"/>
      <c r="D47" s="216" t="s">
        <v>480</v>
      </c>
      <c r="E47" s="217">
        <v>43839</v>
      </c>
      <c r="F47" s="217">
        <v>44196</v>
      </c>
      <c r="G47" s="217">
        <v>43839</v>
      </c>
      <c r="H47" s="217"/>
      <c r="I47" s="215">
        <v>382153.7</v>
      </c>
      <c r="J47" s="215">
        <v>385639.6</v>
      </c>
      <c r="K47" s="215">
        <v>238002.5</v>
      </c>
      <c r="L47" s="215">
        <f>620260-J47</f>
        <v>234620.40000000002</v>
      </c>
      <c r="M47" s="215">
        <v>409042.4</v>
      </c>
      <c r="N47" s="215">
        <v>0</v>
      </c>
      <c r="O47" s="215">
        <v>606971.1</v>
      </c>
      <c r="P47" s="215">
        <v>0</v>
      </c>
      <c r="Q47" s="216"/>
      <c r="R47" s="83"/>
      <c r="S47" s="90">
        <v>1636169.7</v>
      </c>
      <c r="T47" s="67"/>
      <c r="U47" s="67"/>
      <c r="V47" s="67"/>
      <c r="W47" s="92">
        <f t="shared" si="5"/>
        <v>1636169.7</v>
      </c>
      <c r="X47" s="92">
        <f t="shared" si="6"/>
        <v>620260</v>
      </c>
      <c r="Y47" s="92">
        <f t="shared" si="4"/>
        <v>1015909.7</v>
      </c>
      <c r="Z47" s="67"/>
      <c r="AA47" s="67"/>
    </row>
    <row r="48" spans="1:27" ht="350.25" customHeight="1" x14ac:dyDescent="0.25">
      <c r="A48" s="220"/>
      <c r="B48" s="216"/>
      <c r="C48" s="223"/>
      <c r="D48" s="216"/>
      <c r="E48" s="218"/>
      <c r="F48" s="218"/>
      <c r="G48" s="217"/>
      <c r="H48" s="218"/>
      <c r="I48" s="215"/>
      <c r="J48" s="215"/>
      <c r="K48" s="215"/>
      <c r="L48" s="215"/>
      <c r="M48" s="215"/>
      <c r="N48" s="215"/>
      <c r="O48" s="215"/>
      <c r="P48" s="215"/>
      <c r="Q48" s="216"/>
      <c r="R48" s="83"/>
      <c r="S48" s="90"/>
      <c r="T48" s="67"/>
      <c r="U48" s="67"/>
      <c r="V48" s="67"/>
      <c r="W48" s="92">
        <f t="shared" si="5"/>
        <v>0</v>
      </c>
      <c r="X48" s="92">
        <f t="shared" si="6"/>
        <v>0</v>
      </c>
      <c r="Y48" s="92">
        <f t="shared" si="4"/>
        <v>0</v>
      </c>
      <c r="Z48" s="67"/>
      <c r="AA48" s="67"/>
    </row>
    <row r="49" spans="1:27" ht="369" customHeight="1" x14ac:dyDescent="0.25">
      <c r="A49" s="220"/>
      <c r="B49" s="226" t="s">
        <v>482</v>
      </c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83"/>
      <c r="S49" s="90"/>
      <c r="T49" s="67"/>
      <c r="U49" s="67"/>
      <c r="V49" s="67"/>
      <c r="W49" s="92">
        <f t="shared" si="5"/>
        <v>0</v>
      </c>
      <c r="X49" s="92">
        <f t="shared" si="6"/>
        <v>0</v>
      </c>
      <c r="Y49" s="92">
        <f t="shared" si="4"/>
        <v>0</v>
      </c>
      <c r="Z49" s="67"/>
      <c r="AA49" s="67"/>
    </row>
    <row r="50" spans="1:27" ht="288.75" customHeight="1" x14ac:dyDescent="0.25">
      <c r="A50" s="220"/>
      <c r="B50" s="226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83"/>
      <c r="S50" s="90"/>
      <c r="T50" s="67"/>
      <c r="U50" s="67"/>
      <c r="V50" s="67"/>
      <c r="W50" s="92">
        <f t="shared" si="5"/>
        <v>0</v>
      </c>
      <c r="X50" s="92">
        <f t="shared" si="6"/>
        <v>0</v>
      </c>
      <c r="Y50" s="92">
        <f t="shared" si="4"/>
        <v>0</v>
      </c>
      <c r="Z50" s="67"/>
      <c r="AA50" s="67"/>
    </row>
    <row r="51" spans="1:27" ht="408.75" customHeight="1" x14ac:dyDescent="0.25">
      <c r="A51" s="220" t="s">
        <v>81</v>
      </c>
      <c r="B51" s="216" t="s">
        <v>483</v>
      </c>
      <c r="C51" s="223"/>
      <c r="D51" s="216" t="s">
        <v>484</v>
      </c>
      <c r="E51" s="217">
        <v>43839</v>
      </c>
      <c r="F51" s="217">
        <v>44196</v>
      </c>
      <c r="G51" s="217">
        <v>43839</v>
      </c>
      <c r="H51" s="217"/>
      <c r="I51" s="215">
        <v>1322.3</v>
      </c>
      <c r="J51" s="215">
        <v>1322.3</v>
      </c>
      <c r="K51" s="215">
        <v>601.29999999999995</v>
      </c>
      <c r="L51" s="215">
        <f>1923.6-J51</f>
        <v>601.29999999999995</v>
      </c>
      <c r="M51" s="215">
        <v>3621.4</v>
      </c>
      <c r="N51" s="215">
        <v>0</v>
      </c>
      <c r="O51" s="215">
        <v>8940.6</v>
      </c>
      <c r="P51" s="215">
        <v>0</v>
      </c>
      <c r="Q51" s="216"/>
      <c r="R51" s="83"/>
      <c r="S51" s="90">
        <v>14485.6</v>
      </c>
      <c r="T51" s="67"/>
      <c r="U51" s="67"/>
      <c r="V51" s="67"/>
      <c r="W51" s="92">
        <f t="shared" si="5"/>
        <v>14485.6</v>
      </c>
      <c r="X51" s="92">
        <f t="shared" si="6"/>
        <v>1923.6</v>
      </c>
      <c r="Y51" s="92">
        <f t="shared" si="4"/>
        <v>12562</v>
      </c>
      <c r="Z51" s="67"/>
      <c r="AA51" s="67"/>
    </row>
    <row r="52" spans="1:27" ht="66" customHeight="1" x14ac:dyDescent="0.25">
      <c r="A52" s="220"/>
      <c r="B52" s="216"/>
      <c r="C52" s="223"/>
      <c r="D52" s="216"/>
      <c r="E52" s="218"/>
      <c r="F52" s="218"/>
      <c r="G52" s="217"/>
      <c r="H52" s="218"/>
      <c r="I52" s="215"/>
      <c r="J52" s="215"/>
      <c r="K52" s="215"/>
      <c r="L52" s="215"/>
      <c r="M52" s="215"/>
      <c r="N52" s="215"/>
      <c r="O52" s="215"/>
      <c r="P52" s="215"/>
      <c r="Q52" s="216"/>
      <c r="R52" s="83"/>
      <c r="S52" s="90"/>
      <c r="T52" s="67"/>
      <c r="U52" s="67"/>
      <c r="V52" s="67"/>
      <c r="W52" s="92">
        <f t="shared" si="5"/>
        <v>0</v>
      </c>
      <c r="X52" s="92">
        <f t="shared" si="6"/>
        <v>0</v>
      </c>
      <c r="Y52" s="92">
        <f t="shared" si="4"/>
        <v>0</v>
      </c>
      <c r="Z52" s="67"/>
      <c r="AA52" s="67"/>
    </row>
    <row r="53" spans="1:27" ht="115.5" customHeight="1" x14ac:dyDescent="0.25">
      <c r="A53" s="173" t="s">
        <v>83</v>
      </c>
      <c r="B53" s="172" t="s">
        <v>84</v>
      </c>
      <c r="C53" s="170"/>
      <c r="D53" s="172" t="s">
        <v>471</v>
      </c>
      <c r="E53" s="168">
        <v>43839</v>
      </c>
      <c r="F53" s="168">
        <v>44196</v>
      </c>
      <c r="G53" s="168">
        <v>43839</v>
      </c>
      <c r="H53" s="168"/>
      <c r="I53" s="171">
        <v>193901.3</v>
      </c>
      <c r="J53" s="171">
        <v>194768.2</v>
      </c>
      <c r="K53" s="171">
        <v>125369.7</v>
      </c>
      <c r="L53" s="171">
        <f>320177.9-J53</f>
        <v>125409.70000000001</v>
      </c>
      <c r="M53" s="171">
        <v>195800</v>
      </c>
      <c r="N53" s="171">
        <v>0</v>
      </c>
      <c r="O53" s="171">
        <v>268565.40000000002</v>
      </c>
      <c r="P53" s="171">
        <v>0</v>
      </c>
      <c r="Q53" s="172"/>
      <c r="R53" s="83"/>
      <c r="S53" s="90">
        <v>783636.4</v>
      </c>
      <c r="T53" s="67"/>
      <c r="U53" s="67"/>
      <c r="V53" s="67"/>
      <c r="W53" s="92">
        <f t="shared" si="5"/>
        <v>783636.4</v>
      </c>
      <c r="X53" s="92">
        <f t="shared" si="6"/>
        <v>320177.90000000002</v>
      </c>
      <c r="Y53" s="92">
        <f t="shared" si="4"/>
        <v>463458.5</v>
      </c>
      <c r="Z53" s="67"/>
      <c r="AA53" s="67"/>
    </row>
    <row r="54" spans="1:27" ht="256.5" customHeight="1" x14ac:dyDescent="0.25">
      <c r="A54" s="173" t="s">
        <v>85</v>
      </c>
      <c r="B54" s="172" t="s">
        <v>86</v>
      </c>
      <c r="C54" s="170"/>
      <c r="D54" s="172" t="s">
        <v>471</v>
      </c>
      <c r="E54" s="168">
        <v>43839</v>
      </c>
      <c r="F54" s="168">
        <v>44013</v>
      </c>
      <c r="G54" s="168">
        <v>43839</v>
      </c>
      <c r="H54" s="168"/>
      <c r="I54" s="171">
        <v>136.5</v>
      </c>
      <c r="J54" s="171">
        <v>136.5</v>
      </c>
      <c r="K54" s="171">
        <v>1</v>
      </c>
      <c r="L54" s="171">
        <f>137.5-J54</f>
        <v>1</v>
      </c>
      <c r="M54" s="171">
        <v>0</v>
      </c>
      <c r="N54" s="171">
        <v>0</v>
      </c>
      <c r="O54" s="171">
        <v>3159</v>
      </c>
      <c r="P54" s="171">
        <v>0</v>
      </c>
      <c r="Q54" s="172"/>
      <c r="R54" s="83"/>
      <c r="S54" s="90">
        <v>3296.5</v>
      </c>
      <c r="T54" s="67"/>
      <c r="U54" s="67"/>
      <c r="V54" s="67"/>
      <c r="W54" s="92">
        <f t="shared" si="5"/>
        <v>3296.5</v>
      </c>
      <c r="X54" s="92">
        <f t="shared" si="6"/>
        <v>137.5</v>
      </c>
      <c r="Y54" s="92">
        <f t="shared" si="4"/>
        <v>3159</v>
      </c>
      <c r="Z54" s="67"/>
      <c r="AA54" s="67"/>
    </row>
    <row r="55" spans="1:27" ht="308.25" customHeight="1" x14ac:dyDescent="0.25">
      <c r="A55" s="173" t="s">
        <v>353</v>
      </c>
      <c r="B55" s="172" t="s">
        <v>455</v>
      </c>
      <c r="C55" s="170"/>
      <c r="D55" s="172" t="s">
        <v>485</v>
      </c>
      <c r="E55" s="168">
        <v>43983</v>
      </c>
      <c r="F55" s="168">
        <v>44012</v>
      </c>
      <c r="G55" s="168">
        <v>43983</v>
      </c>
      <c r="H55" s="168">
        <v>44012</v>
      </c>
      <c r="I55" s="171">
        <v>0</v>
      </c>
      <c r="J55" s="171">
        <v>0</v>
      </c>
      <c r="K55" s="171">
        <v>11973.3</v>
      </c>
      <c r="L55" s="171">
        <v>11973.3</v>
      </c>
      <c r="M55" s="171">
        <v>0</v>
      </c>
      <c r="N55" s="171">
        <v>0</v>
      </c>
      <c r="O55" s="171">
        <v>0</v>
      </c>
      <c r="P55" s="171">
        <v>0</v>
      </c>
      <c r="Q55" s="172"/>
      <c r="R55" s="83"/>
      <c r="S55" s="90">
        <v>11973.3</v>
      </c>
      <c r="T55" s="67"/>
      <c r="U55" s="67"/>
      <c r="V55" s="67"/>
      <c r="W55" s="92">
        <f t="shared" si="5"/>
        <v>11973.3</v>
      </c>
      <c r="X55" s="92"/>
      <c r="Y55" s="92"/>
      <c r="Z55" s="67"/>
      <c r="AA55" s="67"/>
    </row>
    <row r="56" spans="1:27" ht="288.75" customHeight="1" x14ac:dyDescent="0.25">
      <c r="A56" s="220" t="s">
        <v>87</v>
      </c>
      <c r="B56" s="216" t="s">
        <v>487</v>
      </c>
      <c r="C56" s="223"/>
      <c r="D56" s="216" t="s">
        <v>486</v>
      </c>
      <c r="E56" s="218" t="s">
        <v>334</v>
      </c>
      <c r="F56" s="217">
        <v>44012</v>
      </c>
      <c r="G56" s="218" t="s">
        <v>334</v>
      </c>
      <c r="H56" s="217">
        <v>44012</v>
      </c>
      <c r="I56" s="215">
        <v>0</v>
      </c>
      <c r="J56" s="215">
        <v>0</v>
      </c>
      <c r="K56" s="215">
        <v>56931.7</v>
      </c>
      <c r="L56" s="215">
        <v>56931.7</v>
      </c>
      <c r="M56" s="215">
        <v>0</v>
      </c>
      <c r="N56" s="215">
        <v>0</v>
      </c>
      <c r="O56" s="215">
        <v>0</v>
      </c>
      <c r="P56" s="215">
        <v>0</v>
      </c>
      <c r="Q56" s="216"/>
      <c r="R56" s="83"/>
      <c r="S56" s="90">
        <v>56931.7</v>
      </c>
      <c r="T56" s="67"/>
      <c r="U56" s="67"/>
      <c r="V56" s="67"/>
      <c r="W56" s="92">
        <f t="shared" si="5"/>
        <v>56931.7</v>
      </c>
      <c r="X56" s="92">
        <f t="shared" si="6"/>
        <v>56931.7</v>
      </c>
      <c r="Y56" s="92">
        <f t="shared" si="4"/>
        <v>0</v>
      </c>
      <c r="Z56" s="67"/>
      <c r="AA56" s="67"/>
    </row>
    <row r="57" spans="1:27" ht="27" customHeight="1" x14ac:dyDescent="0.25">
      <c r="A57" s="220"/>
      <c r="B57" s="216"/>
      <c r="C57" s="223"/>
      <c r="D57" s="216"/>
      <c r="E57" s="218"/>
      <c r="F57" s="218"/>
      <c r="G57" s="218"/>
      <c r="H57" s="218"/>
      <c r="I57" s="215"/>
      <c r="J57" s="215"/>
      <c r="K57" s="215"/>
      <c r="L57" s="215"/>
      <c r="M57" s="215"/>
      <c r="N57" s="215"/>
      <c r="O57" s="215"/>
      <c r="P57" s="215"/>
      <c r="Q57" s="216"/>
      <c r="R57" s="83"/>
      <c r="S57" s="90"/>
      <c r="T57" s="67"/>
      <c r="U57" s="67"/>
      <c r="V57" s="67"/>
      <c r="W57" s="92">
        <f t="shared" si="5"/>
        <v>0</v>
      </c>
      <c r="X57" s="92">
        <f t="shared" si="6"/>
        <v>0</v>
      </c>
      <c r="Y57" s="92">
        <f t="shared" si="4"/>
        <v>0</v>
      </c>
      <c r="Z57" s="67"/>
      <c r="AA57" s="67"/>
    </row>
    <row r="58" spans="1:27" ht="338.25" customHeight="1" x14ac:dyDescent="0.25">
      <c r="A58" s="220" t="s">
        <v>88</v>
      </c>
      <c r="B58" s="216" t="s">
        <v>488</v>
      </c>
      <c r="C58" s="223"/>
      <c r="D58" s="216" t="s">
        <v>486</v>
      </c>
      <c r="E58" s="218" t="s">
        <v>334</v>
      </c>
      <c r="F58" s="217">
        <v>44012</v>
      </c>
      <c r="G58" s="218" t="s">
        <v>334</v>
      </c>
      <c r="H58" s="217">
        <v>44012</v>
      </c>
      <c r="I58" s="215">
        <v>0</v>
      </c>
      <c r="J58" s="215">
        <v>0</v>
      </c>
      <c r="K58" s="215">
        <v>36757</v>
      </c>
      <c r="L58" s="215">
        <v>36757</v>
      </c>
      <c r="M58" s="215">
        <v>0</v>
      </c>
      <c r="N58" s="215">
        <v>0</v>
      </c>
      <c r="O58" s="215">
        <v>0</v>
      </c>
      <c r="P58" s="215">
        <v>0</v>
      </c>
      <c r="Q58" s="216"/>
      <c r="R58" s="83"/>
      <c r="S58" s="90">
        <v>36757</v>
      </c>
      <c r="T58" s="67"/>
      <c r="U58" s="67"/>
      <c r="V58" s="67"/>
      <c r="W58" s="92">
        <f t="shared" si="5"/>
        <v>36757</v>
      </c>
      <c r="X58" s="92">
        <f t="shared" si="6"/>
        <v>36757</v>
      </c>
      <c r="Y58" s="92">
        <f t="shared" si="4"/>
        <v>0</v>
      </c>
      <c r="Z58" s="67"/>
      <c r="AA58" s="67"/>
    </row>
    <row r="59" spans="1:27" ht="11.25" customHeight="1" x14ac:dyDescent="0.25">
      <c r="A59" s="220"/>
      <c r="B59" s="216"/>
      <c r="C59" s="223"/>
      <c r="D59" s="216"/>
      <c r="E59" s="218"/>
      <c r="F59" s="218"/>
      <c r="G59" s="218"/>
      <c r="H59" s="218"/>
      <c r="I59" s="215"/>
      <c r="J59" s="215"/>
      <c r="K59" s="215"/>
      <c r="L59" s="215"/>
      <c r="M59" s="215"/>
      <c r="N59" s="215"/>
      <c r="O59" s="215"/>
      <c r="P59" s="215"/>
      <c r="Q59" s="216"/>
      <c r="R59" s="83"/>
      <c r="S59" s="90"/>
      <c r="T59" s="67"/>
      <c r="U59" s="67"/>
      <c r="V59" s="67"/>
      <c r="W59" s="92">
        <f t="shared" si="5"/>
        <v>0</v>
      </c>
      <c r="X59" s="92">
        <f t="shared" si="6"/>
        <v>0</v>
      </c>
      <c r="Y59" s="92">
        <f t="shared" si="4"/>
        <v>0</v>
      </c>
      <c r="Z59" s="67"/>
      <c r="AA59" s="67"/>
    </row>
    <row r="60" spans="1:27" ht="409.5" x14ac:dyDescent="0.25">
      <c r="A60" s="173" t="s">
        <v>315</v>
      </c>
      <c r="B60" s="172" t="s">
        <v>490</v>
      </c>
      <c r="C60" s="170"/>
      <c r="D60" s="172" t="s">
        <v>489</v>
      </c>
      <c r="E60" s="168">
        <v>43839</v>
      </c>
      <c r="F60" s="168">
        <v>44196</v>
      </c>
      <c r="G60" s="168">
        <v>43839</v>
      </c>
      <c r="H60" s="169"/>
      <c r="I60" s="171">
        <v>194419.5</v>
      </c>
      <c r="J60" s="171">
        <v>195958</v>
      </c>
      <c r="K60" s="171">
        <v>103411.4</v>
      </c>
      <c r="L60" s="155">
        <f>298181.5-J60</f>
        <v>102223.5</v>
      </c>
      <c r="M60" s="171">
        <v>113140.5</v>
      </c>
      <c r="N60" s="171">
        <v>0</v>
      </c>
      <c r="O60" s="171">
        <v>41590.699999999997</v>
      </c>
      <c r="P60" s="171">
        <v>0</v>
      </c>
      <c r="Q60" s="172"/>
      <c r="R60" s="83"/>
      <c r="S60" s="90">
        <v>452562.1</v>
      </c>
      <c r="T60" s="67"/>
      <c r="U60" s="67"/>
      <c r="V60" s="67"/>
      <c r="W60" s="92"/>
      <c r="X60" s="92"/>
      <c r="Y60" s="92"/>
      <c r="Z60" s="67"/>
      <c r="AA60" s="67"/>
    </row>
    <row r="61" spans="1:27" ht="199.5" customHeight="1" x14ac:dyDescent="0.25">
      <c r="A61" s="173"/>
      <c r="B61" s="172" t="s">
        <v>491</v>
      </c>
      <c r="C61" s="170" t="s">
        <v>25</v>
      </c>
      <c r="D61" s="172" t="s">
        <v>461</v>
      </c>
      <c r="E61" s="169" t="s">
        <v>25</v>
      </c>
      <c r="F61" s="168">
        <v>44196</v>
      </c>
      <c r="G61" s="169" t="s">
        <v>25</v>
      </c>
      <c r="H61" s="168"/>
      <c r="I61" s="171" t="s">
        <v>25</v>
      </c>
      <c r="J61" s="171" t="s">
        <v>25</v>
      </c>
      <c r="K61" s="171" t="s">
        <v>25</v>
      </c>
      <c r="L61" s="171" t="s">
        <v>25</v>
      </c>
      <c r="M61" s="171" t="s">
        <v>25</v>
      </c>
      <c r="N61" s="171" t="s">
        <v>25</v>
      </c>
      <c r="O61" s="171" t="s">
        <v>25</v>
      </c>
      <c r="P61" s="171" t="s">
        <v>25</v>
      </c>
      <c r="Q61" s="171"/>
      <c r="R61" s="83"/>
      <c r="S61" s="90"/>
      <c r="T61" s="85"/>
      <c r="U61" s="85"/>
      <c r="V61" s="85"/>
      <c r="W61" s="92" t="e">
        <f t="shared" si="5"/>
        <v>#VALUE!</v>
      </c>
      <c r="X61" s="92" t="e">
        <f t="shared" si="6"/>
        <v>#VALUE!</v>
      </c>
      <c r="Y61" s="92" t="e">
        <f t="shared" si="4"/>
        <v>#VALUE!</v>
      </c>
      <c r="Z61" s="85"/>
      <c r="AA61" s="85"/>
    </row>
    <row r="62" spans="1:27" ht="236.25" customHeight="1" x14ac:dyDescent="0.25">
      <c r="A62" s="173"/>
      <c r="B62" s="172" t="s">
        <v>261</v>
      </c>
      <c r="C62" s="170" t="s">
        <v>25</v>
      </c>
      <c r="D62" s="172" t="s">
        <v>492</v>
      </c>
      <c r="E62" s="169" t="s">
        <v>25</v>
      </c>
      <c r="F62" s="168">
        <v>44196</v>
      </c>
      <c r="G62" s="169" t="s">
        <v>25</v>
      </c>
      <c r="H62" s="168"/>
      <c r="I62" s="171" t="s">
        <v>25</v>
      </c>
      <c r="J62" s="171" t="s">
        <v>25</v>
      </c>
      <c r="K62" s="171" t="s">
        <v>25</v>
      </c>
      <c r="L62" s="171" t="s">
        <v>25</v>
      </c>
      <c r="M62" s="171" t="s">
        <v>25</v>
      </c>
      <c r="N62" s="171" t="s">
        <v>25</v>
      </c>
      <c r="O62" s="171" t="s">
        <v>25</v>
      </c>
      <c r="P62" s="171" t="s">
        <v>25</v>
      </c>
      <c r="Q62" s="171"/>
      <c r="R62" s="83"/>
      <c r="S62" s="90"/>
      <c r="T62" s="67"/>
      <c r="U62" s="67"/>
      <c r="V62" s="67"/>
      <c r="W62" s="92" t="e">
        <f t="shared" si="5"/>
        <v>#VALUE!</v>
      </c>
      <c r="X62" s="92" t="e">
        <f t="shared" si="6"/>
        <v>#VALUE!</v>
      </c>
      <c r="Y62" s="92" t="e">
        <f t="shared" si="4"/>
        <v>#VALUE!</v>
      </c>
      <c r="Z62" s="67"/>
      <c r="AA62" s="67"/>
    </row>
    <row r="63" spans="1:27" ht="20.25" x14ac:dyDescent="0.25">
      <c r="A63" s="98" t="s">
        <v>90</v>
      </c>
      <c r="B63" s="225" t="s">
        <v>262</v>
      </c>
      <c r="C63" s="225"/>
      <c r="D63" s="225"/>
      <c r="E63" s="225"/>
      <c r="F63" s="225"/>
      <c r="G63" s="225"/>
      <c r="H63" s="225"/>
      <c r="I63" s="138">
        <f t="shared" ref="I63:P63" si="7">I64+I67+I73+I75+I77+I78+I79+I81+I76+I83+I84+I82</f>
        <v>2208059.1</v>
      </c>
      <c r="J63" s="138">
        <f t="shared" si="7"/>
        <v>2208624</v>
      </c>
      <c r="K63" s="138">
        <f t="shared" si="7"/>
        <v>3103795.4</v>
      </c>
      <c r="L63" s="138">
        <f t="shared" si="7"/>
        <v>3805917.8999999994</v>
      </c>
      <c r="M63" s="138">
        <f t="shared" si="7"/>
        <v>3301841.5000000005</v>
      </c>
      <c r="N63" s="138">
        <f t="shared" si="7"/>
        <v>0</v>
      </c>
      <c r="O63" s="138">
        <f>O64+O67+O73+O75+O77+O78+O79+O81+O76+O83+O84+O82</f>
        <v>2845305.0999999987</v>
      </c>
      <c r="P63" s="138">
        <f t="shared" si="7"/>
        <v>0</v>
      </c>
      <c r="Q63" s="171"/>
      <c r="R63" s="83"/>
      <c r="S63" s="121">
        <f>I63+K63+M63+O63</f>
        <v>11459001.099999998</v>
      </c>
      <c r="T63" s="120">
        <f>J63+L63+N63+P63</f>
        <v>6014541.8999999994</v>
      </c>
      <c r="U63" s="67"/>
      <c r="V63" s="67"/>
      <c r="W63" s="92">
        <f t="shared" ref="W63:W88" si="8">I63+K63+M63+O63</f>
        <v>11459001.099999998</v>
      </c>
      <c r="X63" s="92">
        <f t="shared" ref="X63:X88" si="9">J63+L63+N63+P63</f>
        <v>6014541.8999999994</v>
      </c>
      <c r="Y63" s="92">
        <f t="shared" ref="Y63:Y113" si="10">W63-X63</f>
        <v>5444459.1999999983</v>
      </c>
      <c r="Z63" s="67"/>
      <c r="AA63" s="67"/>
    </row>
    <row r="64" spans="1:27" ht="195" customHeight="1" x14ac:dyDescent="0.25">
      <c r="A64" s="173" t="s">
        <v>92</v>
      </c>
      <c r="B64" s="172" t="s">
        <v>93</v>
      </c>
      <c r="C64" s="170"/>
      <c r="D64" s="172" t="s">
        <v>493</v>
      </c>
      <c r="E64" s="168">
        <v>43839</v>
      </c>
      <c r="F64" s="168">
        <v>44196</v>
      </c>
      <c r="G64" s="168">
        <v>43839</v>
      </c>
      <c r="H64" s="168"/>
      <c r="I64" s="171">
        <v>3136.7</v>
      </c>
      <c r="J64" s="171">
        <f>J65+J66</f>
        <v>3136.6000000000004</v>
      </c>
      <c r="K64" s="171">
        <v>4967</v>
      </c>
      <c r="L64" s="171">
        <f>L65+L66</f>
        <v>4994.2999999999993</v>
      </c>
      <c r="M64" s="171">
        <v>5027.6000000000004</v>
      </c>
      <c r="N64" s="171">
        <v>0</v>
      </c>
      <c r="O64" s="171">
        <v>7919.3</v>
      </c>
      <c r="P64" s="171">
        <v>0</v>
      </c>
      <c r="Q64" s="172"/>
      <c r="R64" s="83"/>
      <c r="S64" s="90"/>
      <c r="T64" s="67"/>
      <c r="U64" s="67"/>
      <c r="V64" s="67"/>
      <c r="W64" s="92">
        <f t="shared" si="8"/>
        <v>21050.6</v>
      </c>
      <c r="X64" s="92">
        <f t="shared" si="9"/>
        <v>8130.9</v>
      </c>
      <c r="Y64" s="92">
        <f t="shared" si="10"/>
        <v>12919.699999999999</v>
      </c>
      <c r="Z64" s="67"/>
      <c r="AA64" s="67"/>
    </row>
    <row r="65" spans="1:27" ht="29.25" customHeight="1" x14ac:dyDescent="0.25">
      <c r="A65" s="173" t="s">
        <v>27</v>
      </c>
      <c r="B65" s="172" t="s">
        <v>94</v>
      </c>
      <c r="C65" s="170"/>
      <c r="D65" s="170" t="s">
        <v>25</v>
      </c>
      <c r="E65" s="168">
        <v>43839</v>
      </c>
      <c r="F65" s="168">
        <v>44196</v>
      </c>
      <c r="G65" s="168">
        <v>43839</v>
      </c>
      <c r="H65" s="168"/>
      <c r="I65" s="171">
        <v>1277.8</v>
      </c>
      <c r="J65" s="171">
        <v>1277.7</v>
      </c>
      <c r="K65" s="171">
        <v>2055.1</v>
      </c>
      <c r="L65" s="171">
        <f>3360-J65</f>
        <v>2082.3000000000002</v>
      </c>
      <c r="M65" s="171">
        <v>2464.4</v>
      </c>
      <c r="N65" s="171">
        <v>0</v>
      </c>
      <c r="O65" s="171">
        <v>4011</v>
      </c>
      <c r="P65" s="171">
        <v>0</v>
      </c>
      <c r="Q65" s="172"/>
      <c r="R65" s="83"/>
      <c r="S65" s="90">
        <v>9808.2999999999993</v>
      </c>
      <c r="T65" s="67"/>
      <c r="U65" s="67"/>
      <c r="V65" s="67"/>
      <c r="W65" s="92">
        <f t="shared" si="8"/>
        <v>9808.2999999999993</v>
      </c>
      <c r="X65" s="92">
        <f t="shared" si="9"/>
        <v>3360</v>
      </c>
      <c r="Y65" s="92">
        <f t="shared" si="10"/>
        <v>6448.2999999999993</v>
      </c>
      <c r="Z65" s="67"/>
      <c r="AA65" s="67"/>
    </row>
    <row r="66" spans="1:27" ht="81.75" customHeight="1" x14ac:dyDescent="0.25">
      <c r="A66" s="173" t="s">
        <v>95</v>
      </c>
      <c r="B66" s="172" t="s">
        <v>96</v>
      </c>
      <c r="C66" s="170"/>
      <c r="D66" s="170" t="s">
        <v>25</v>
      </c>
      <c r="E66" s="168">
        <v>43839</v>
      </c>
      <c r="F66" s="168">
        <v>44196</v>
      </c>
      <c r="G66" s="168">
        <v>43839</v>
      </c>
      <c r="H66" s="168"/>
      <c r="I66" s="171">
        <v>1858.9</v>
      </c>
      <c r="J66" s="171">
        <v>1858.9</v>
      </c>
      <c r="K66" s="171">
        <v>2911.9</v>
      </c>
      <c r="L66" s="171">
        <f>4770.9-J66</f>
        <v>2911.9999999999995</v>
      </c>
      <c r="M66" s="171">
        <v>2563.1999999999998</v>
      </c>
      <c r="N66" s="171">
        <v>0</v>
      </c>
      <c r="O66" s="171">
        <v>3908.3</v>
      </c>
      <c r="P66" s="171">
        <v>0</v>
      </c>
      <c r="Q66" s="172"/>
      <c r="R66" s="83"/>
      <c r="S66" s="90">
        <v>11242.3</v>
      </c>
      <c r="T66" s="67"/>
      <c r="U66" s="67"/>
      <c r="V66" s="67"/>
      <c r="W66" s="92">
        <f t="shared" si="8"/>
        <v>11242.3</v>
      </c>
      <c r="X66" s="92">
        <f t="shared" si="9"/>
        <v>4770.8999999999996</v>
      </c>
      <c r="Y66" s="92">
        <f t="shared" si="10"/>
        <v>6471.4</v>
      </c>
      <c r="Z66" s="67"/>
      <c r="AA66" s="67"/>
    </row>
    <row r="67" spans="1:27" ht="198.75" customHeight="1" x14ac:dyDescent="0.25">
      <c r="A67" s="173" t="s">
        <v>97</v>
      </c>
      <c r="B67" s="172" t="s">
        <v>263</v>
      </c>
      <c r="C67" s="170"/>
      <c r="D67" s="172" t="s">
        <v>493</v>
      </c>
      <c r="E67" s="168">
        <v>43839</v>
      </c>
      <c r="F67" s="168">
        <v>44196</v>
      </c>
      <c r="G67" s="168">
        <v>43839</v>
      </c>
      <c r="H67" s="168"/>
      <c r="I67" s="171">
        <v>2200828.2999999998</v>
      </c>
      <c r="J67" s="171">
        <v>2201393.2999999998</v>
      </c>
      <c r="K67" s="171">
        <v>3087122.4</v>
      </c>
      <c r="L67" s="171">
        <f>L68+L69</f>
        <v>3789217.5999999996</v>
      </c>
      <c r="M67" s="171">
        <v>3251639.7</v>
      </c>
      <c r="N67" s="171">
        <v>0</v>
      </c>
      <c r="O67" s="171">
        <f>O68+O69</f>
        <v>2804127.7999999989</v>
      </c>
      <c r="P67" s="171">
        <v>0</v>
      </c>
      <c r="Q67" s="172"/>
      <c r="R67" s="83"/>
      <c r="S67" s="90">
        <v>11327042.199999999</v>
      </c>
      <c r="T67" s="67"/>
      <c r="U67" s="67"/>
      <c r="V67" s="67"/>
      <c r="W67" s="92">
        <f t="shared" si="8"/>
        <v>11343718.199999997</v>
      </c>
      <c r="X67" s="92">
        <f t="shared" si="9"/>
        <v>5990610.8999999994</v>
      </c>
      <c r="Y67" s="92">
        <f t="shared" si="10"/>
        <v>5353107.299999998</v>
      </c>
      <c r="Z67" s="67"/>
      <c r="AA67" s="67"/>
    </row>
    <row r="68" spans="1:27" ht="27.75" customHeight="1" x14ac:dyDescent="0.25">
      <c r="A68" s="173" t="s">
        <v>99</v>
      </c>
      <c r="B68" s="172" t="s">
        <v>100</v>
      </c>
      <c r="C68" s="170"/>
      <c r="D68" s="170" t="s">
        <v>25</v>
      </c>
      <c r="E68" s="168">
        <v>43839</v>
      </c>
      <c r="F68" s="168">
        <v>44196</v>
      </c>
      <c r="G68" s="168">
        <v>43839</v>
      </c>
      <c r="H68" s="168"/>
      <c r="I68" s="171">
        <v>136090.4</v>
      </c>
      <c r="J68" s="171">
        <v>136655.4</v>
      </c>
      <c r="K68" s="171">
        <v>182213.8</v>
      </c>
      <c r="L68" s="171">
        <f>320964.5-J68</f>
        <v>184309.1</v>
      </c>
      <c r="M68" s="171">
        <v>211486</v>
      </c>
      <c r="N68" s="171">
        <v>0</v>
      </c>
      <c r="O68" s="171">
        <f>787617.2-M68-K68-I68</f>
        <v>257826.99999999997</v>
      </c>
      <c r="P68" s="171">
        <v>0</v>
      </c>
      <c r="Q68" s="172"/>
      <c r="R68" s="83"/>
      <c r="S68" s="90">
        <v>778519.6</v>
      </c>
      <c r="T68" s="67"/>
      <c r="U68" s="67"/>
      <c r="V68" s="67"/>
      <c r="W68" s="92">
        <f t="shared" si="8"/>
        <v>787617.2</v>
      </c>
      <c r="X68" s="92">
        <f t="shared" si="9"/>
        <v>320964.5</v>
      </c>
      <c r="Y68" s="92">
        <f t="shared" si="10"/>
        <v>466652.69999999995</v>
      </c>
      <c r="Z68" s="67"/>
      <c r="AA68" s="67"/>
    </row>
    <row r="69" spans="1:27" ht="79.5" customHeight="1" x14ac:dyDescent="0.25">
      <c r="A69" s="173" t="s">
        <v>102</v>
      </c>
      <c r="B69" s="172" t="s">
        <v>103</v>
      </c>
      <c r="C69" s="170"/>
      <c r="D69" s="170" t="s">
        <v>25</v>
      </c>
      <c r="E69" s="168">
        <v>43839</v>
      </c>
      <c r="F69" s="168">
        <v>44196</v>
      </c>
      <c r="G69" s="168">
        <v>43839</v>
      </c>
      <c r="H69" s="168"/>
      <c r="I69" s="171">
        <v>2064737.9</v>
      </c>
      <c r="J69" s="171">
        <v>2064737.9</v>
      </c>
      <c r="K69" s="171">
        <v>2904908.6</v>
      </c>
      <c r="L69" s="171">
        <f>L71+L72+L70</f>
        <v>3604908.4999999995</v>
      </c>
      <c r="M69" s="171">
        <v>3040153.7</v>
      </c>
      <c r="N69" s="171">
        <v>0</v>
      </c>
      <c r="O69" s="171">
        <f>O70+O72+O71</f>
        <v>2546300.7999999989</v>
      </c>
      <c r="P69" s="171">
        <v>0</v>
      </c>
      <c r="Q69" s="172"/>
      <c r="R69" s="83"/>
      <c r="S69" s="90">
        <v>10548522.6</v>
      </c>
      <c r="T69" s="67"/>
      <c r="U69" s="67"/>
      <c r="V69" s="67"/>
      <c r="W69" s="92">
        <f t="shared" si="8"/>
        <v>10556101</v>
      </c>
      <c r="X69" s="92">
        <f t="shared" si="9"/>
        <v>5669646.3999999994</v>
      </c>
      <c r="Y69" s="92">
        <f t="shared" si="10"/>
        <v>4886454.6000000006</v>
      </c>
      <c r="Z69" s="67"/>
      <c r="AA69" s="67"/>
    </row>
    <row r="70" spans="1:27" ht="60" customHeight="1" x14ac:dyDescent="0.25">
      <c r="A70" s="100" t="s">
        <v>104</v>
      </c>
      <c r="B70" s="172" t="s">
        <v>105</v>
      </c>
      <c r="C70" s="170"/>
      <c r="D70" s="170" t="s">
        <v>25</v>
      </c>
      <c r="E70" s="168">
        <v>43839</v>
      </c>
      <c r="F70" s="168">
        <v>44196</v>
      </c>
      <c r="G70" s="168">
        <v>43839</v>
      </c>
      <c r="H70" s="168"/>
      <c r="I70" s="171">
        <v>2052863.7</v>
      </c>
      <c r="J70" s="171">
        <v>2052863.7</v>
      </c>
      <c r="K70" s="171">
        <v>2894299</v>
      </c>
      <c r="L70" s="171">
        <f>5647162.6-J70</f>
        <v>3594298.8999999994</v>
      </c>
      <c r="M70" s="171">
        <v>2924358.7</v>
      </c>
      <c r="N70" s="171">
        <v>0</v>
      </c>
      <c r="O70" s="171">
        <f>10375258.2-M70-K70-I70</f>
        <v>2503736.7999999989</v>
      </c>
      <c r="P70" s="171">
        <v>0</v>
      </c>
      <c r="Q70" s="172"/>
      <c r="R70" s="83"/>
      <c r="S70" s="90">
        <v>10383777</v>
      </c>
      <c r="T70" s="67"/>
      <c r="U70" s="67"/>
      <c r="V70" s="67"/>
      <c r="W70" s="92">
        <f t="shared" si="8"/>
        <v>10375258.199999999</v>
      </c>
      <c r="X70" s="92">
        <f t="shared" si="9"/>
        <v>5647162.5999999996</v>
      </c>
      <c r="Y70" s="92">
        <f t="shared" si="10"/>
        <v>4728095.5999999996</v>
      </c>
      <c r="Z70" s="67"/>
      <c r="AA70" s="67"/>
    </row>
    <row r="71" spans="1:27" ht="37.5" x14ac:dyDescent="0.25">
      <c r="A71" s="100" t="s">
        <v>106</v>
      </c>
      <c r="B71" s="172" t="s">
        <v>107</v>
      </c>
      <c r="C71" s="170"/>
      <c r="D71" s="170" t="s">
        <v>25</v>
      </c>
      <c r="E71" s="168">
        <v>43839</v>
      </c>
      <c r="F71" s="168">
        <v>44196</v>
      </c>
      <c r="G71" s="168">
        <v>43839</v>
      </c>
      <c r="H71" s="168"/>
      <c r="I71" s="171">
        <v>7289.6</v>
      </c>
      <c r="J71" s="171">
        <v>7289.6</v>
      </c>
      <c r="K71" s="171">
        <v>4189.2</v>
      </c>
      <c r="L71" s="171">
        <f>11478.8-J71</f>
        <v>4189.1999999999989</v>
      </c>
      <c r="M71" s="171">
        <v>108724.2</v>
      </c>
      <c r="N71" s="171">
        <v>0</v>
      </c>
      <c r="O71" s="171">
        <f>19905.5+16097.2</f>
        <v>36002.699999999997</v>
      </c>
      <c r="P71" s="171">
        <v>0</v>
      </c>
      <c r="Q71" s="172"/>
      <c r="R71" s="83"/>
      <c r="S71" s="90">
        <v>140108.5</v>
      </c>
      <c r="T71" s="67"/>
      <c r="U71" s="67"/>
      <c r="V71" s="67"/>
      <c r="W71" s="92">
        <f t="shared" si="8"/>
        <v>156205.70000000001</v>
      </c>
      <c r="X71" s="92">
        <f t="shared" si="9"/>
        <v>11478.8</v>
      </c>
      <c r="Y71" s="92">
        <f t="shared" si="10"/>
        <v>144726.90000000002</v>
      </c>
      <c r="Z71" s="67"/>
      <c r="AA71" s="67"/>
    </row>
    <row r="72" spans="1:27" ht="250.5" customHeight="1" x14ac:dyDescent="0.25">
      <c r="A72" s="100" t="s">
        <v>108</v>
      </c>
      <c r="B72" s="172" t="s">
        <v>264</v>
      </c>
      <c r="C72" s="170"/>
      <c r="D72" s="170" t="s">
        <v>25</v>
      </c>
      <c r="E72" s="168">
        <v>43839</v>
      </c>
      <c r="F72" s="168">
        <v>44196</v>
      </c>
      <c r="G72" s="168">
        <v>43839</v>
      </c>
      <c r="H72" s="168"/>
      <c r="I72" s="171">
        <v>4584.6000000000004</v>
      </c>
      <c r="J72" s="171">
        <v>4584.6000000000004</v>
      </c>
      <c r="K72" s="171">
        <v>6420.4</v>
      </c>
      <c r="L72" s="171">
        <f>11005-J72</f>
        <v>6420.4</v>
      </c>
      <c r="M72" s="171">
        <v>7070.8</v>
      </c>
      <c r="N72" s="171">
        <v>0</v>
      </c>
      <c r="O72" s="171">
        <v>6561.3</v>
      </c>
      <c r="P72" s="171">
        <v>0</v>
      </c>
      <c r="Q72" s="172"/>
      <c r="R72" s="83"/>
      <c r="S72" s="90">
        <v>24637.1</v>
      </c>
      <c r="T72" s="67"/>
      <c r="U72" s="67"/>
      <c r="V72" s="67"/>
      <c r="W72" s="92">
        <f t="shared" si="8"/>
        <v>24637.1</v>
      </c>
      <c r="X72" s="92">
        <f t="shared" si="9"/>
        <v>11005</v>
      </c>
      <c r="Y72" s="92">
        <f t="shared" si="10"/>
        <v>13632.099999999999</v>
      </c>
      <c r="Z72" s="67"/>
      <c r="AA72" s="67"/>
    </row>
    <row r="73" spans="1:27" ht="409.5" customHeight="1" x14ac:dyDescent="0.25">
      <c r="A73" s="220" t="s">
        <v>50</v>
      </c>
      <c r="B73" s="216" t="s">
        <v>265</v>
      </c>
      <c r="C73" s="223"/>
      <c r="D73" s="216" t="s">
        <v>494</v>
      </c>
      <c r="E73" s="218" t="s">
        <v>335</v>
      </c>
      <c r="F73" s="217">
        <v>44104</v>
      </c>
      <c r="G73" s="217">
        <v>44013</v>
      </c>
      <c r="H73" s="217"/>
      <c r="I73" s="215">
        <v>0</v>
      </c>
      <c r="J73" s="215">
        <v>0</v>
      </c>
      <c r="K73" s="215">
        <v>0</v>
      </c>
      <c r="L73" s="215">
        <v>0</v>
      </c>
      <c r="M73" s="215">
        <v>1633.6</v>
      </c>
      <c r="N73" s="215">
        <v>0</v>
      </c>
      <c r="O73" s="215">
        <v>0</v>
      </c>
      <c r="P73" s="215">
        <v>0</v>
      </c>
      <c r="Q73" s="216"/>
      <c r="R73" s="83"/>
      <c r="S73" s="90">
        <v>1633.6</v>
      </c>
      <c r="T73" s="67"/>
      <c r="U73" s="67"/>
      <c r="V73" s="67"/>
      <c r="W73" s="92">
        <f t="shared" si="8"/>
        <v>1633.6</v>
      </c>
      <c r="X73" s="92">
        <f t="shared" si="9"/>
        <v>0</v>
      </c>
      <c r="Y73" s="92">
        <f t="shared" si="10"/>
        <v>1633.6</v>
      </c>
      <c r="Z73" s="67"/>
      <c r="AA73" s="67"/>
    </row>
    <row r="74" spans="1:27" ht="40.5" customHeight="1" x14ac:dyDescent="0.25">
      <c r="A74" s="220"/>
      <c r="B74" s="216"/>
      <c r="C74" s="223"/>
      <c r="D74" s="216"/>
      <c r="E74" s="218"/>
      <c r="F74" s="218"/>
      <c r="G74" s="217"/>
      <c r="H74" s="218"/>
      <c r="I74" s="215"/>
      <c r="J74" s="215"/>
      <c r="K74" s="215"/>
      <c r="L74" s="215"/>
      <c r="M74" s="215"/>
      <c r="N74" s="215"/>
      <c r="O74" s="215"/>
      <c r="P74" s="215"/>
      <c r="Q74" s="216"/>
      <c r="R74" s="83"/>
      <c r="S74" s="90"/>
      <c r="T74" s="67"/>
      <c r="U74" s="67"/>
      <c r="V74" s="67"/>
      <c r="W74" s="92">
        <f t="shared" si="8"/>
        <v>0</v>
      </c>
      <c r="X74" s="92">
        <f t="shared" si="9"/>
        <v>0</v>
      </c>
      <c r="Y74" s="92">
        <f t="shared" si="10"/>
        <v>0</v>
      </c>
      <c r="Z74" s="67"/>
      <c r="AA74" s="67"/>
    </row>
    <row r="75" spans="1:27" ht="318.75" x14ac:dyDescent="0.25">
      <c r="A75" s="173" t="s">
        <v>53</v>
      </c>
      <c r="B75" s="172" t="s">
        <v>266</v>
      </c>
      <c r="C75" s="170"/>
      <c r="D75" s="172" t="s">
        <v>495</v>
      </c>
      <c r="E75" s="168">
        <v>43922</v>
      </c>
      <c r="F75" s="168">
        <v>44012</v>
      </c>
      <c r="G75" s="168">
        <v>43922</v>
      </c>
      <c r="H75" s="168">
        <v>44012</v>
      </c>
      <c r="I75" s="171">
        <v>0</v>
      </c>
      <c r="J75" s="171">
        <v>0</v>
      </c>
      <c r="K75" s="171">
        <v>3462.9</v>
      </c>
      <c r="L75" s="171">
        <f>3462.9-J75</f>
        <v>3462.9</v>
      </c>
      <c r="M75" s="171">
        <v>0</v>
      </c>
      <c r="N75" s="171">
        <v>0</v>
      </c>
      <c r="O75" s="171">
        <v>0</v>
      </c>
      <c r="P75" s="171">
        <v>0</v>
      </c>
      <c r="Q75" s="172"/>
      <c r="R75" s="83"/>
      <c r="S75" s="90">
        <v>3462.9</v>
      </c>
      <c r="T75" s="67"/>
      <c r="U75" s="67"/>
      <c r="V75" s="67"/>
      <c r="W75" s="92">
        <f t="shared" si="8"/>
        <v>3462.9</v>
      </c>
      <c r="X75" s="92">
        <f t="shared" si="9"/>
        <v>3462.9</v>
      </c>
      <c r="Y75" s="92">
        <f t="shared" si="10"/>
        <v>0</v>
      </c>
      <c r="Z75" s="67"/>
      <c r="AA75" s="67"/>
    </row>
    <row r="76" spans="1:27" ht="261.75" customHeight="1" x14ac:dyDescent="0.25">
      <c r="A76" s="173" t="s">
        <v>113</v>
      </c>
      <c r="B76" s="172" t="s">
        <v>267</v>
      </c>
      <c r="C76" s="170"/>
      <c r="D76" s="172" t="s">
        <v>496</v>
      </c>
      <c r="E76" s="168">
        <v>43922</v>
      </c>
      <c r="F76" s="168">
        <v>44104</v>
      </c>
      <c r="G76" s="168">
        <v>43922</v>
      </c>
      <c r="H76" s="168"/>
      <c r="I76" s="171">
        <v>0</v>
      </c>
      <c r="J76" s="171">
        <v>0</v>
      </c>
      <c r="K76" s="171">
        <v>13.7</v>
      </c>
      <c r="L76" s="171">
        <v>13.7</v>
      </c>
      <c r="M76" s="171">
        <v>1246.3</v>
      </c>
      <c r="N76" s="171">
        <v>0</v>
      </c>
      <c r="O76" s="171">
        <v>0</v>
      </c>
      <c r="P76" s="171">
        <v>0</v>
      </c>
      <c r="Q76" s="172"/>
      <c r="R76" s="83"/>
      <c r="S76" s="90">
        <v>1260</v>
      </c>
      <c r="T76" s="67"/>
      <c r="U76" s="67"/>
      <c r="V76" s="67"/>
      <c r="W76" s="92">
        <f t="shared" si="8"/>
        <v>1260</v>
      </c>
      <c r="X76" s="92">
        <f t="shared" si="9"/>
        <v>13.7</v>
      </c>
      <c r="Y76" s="92">
        <f t="shared" si="10"/>
        <v>1246.3</v>
      </c>
      <c r="Z76" s="67"/>
      <c r="AA76" s="67"/>
    </row>
    <row r="77" spans="1:27" ht="243" customHeight="1" x14ac:dyDescent="0.25">
      <c r="A77" s="173" t="s">
        <v>115</v>
      </c>
      <c r="B77" s="172" t="s">
        <v>268</v>
      </c>
      <c r="C77" s="170"/>
      <c r="D77" s="172" t="s">
        <v>497</v>
      </c>
      <c r="E77" s="169" t="s">
        <v>335</v>
      </c>
      <c r="F77" s="168">
        <v>44104</v>
      </c>
      <c r="G77" s="168">
        <v>44013</v>
      </c>
      <c r="H77" s="168"/>
      <c r="I77" s="171">
        <v>0</v>
      </c>
      <c r="J77" s="171">
        <v>0</v>
      </c>
      <c r="K77" s="171">
        <v>0</v>
      </c>
      <c r="L77" s="171">
        <v>0</v>
      </c>
      <c r="M77" s="171">
        <v>700</v>
      </c>
      <c r="N77" s="171">
        <v>0</v>
      </c>
      <c r="O77" s="171">
        <v>0</v>
      </c>
      <c r="P77" s="171">
        <v>0</v>
      </c>
      <c r="Q77" s="172"/>
      <c r="R77" s="83"/>
      <c r="S77" s="90">
        <v>700</v>
      </c>
      <c r="T77" s="67"/>
      <c r="U77" s="67"/>
      <c r="V77" s="67"/>
      <c r="W77" s="92">
        <f t="shared" si="8"/>
        <v>700</v>
      </c>
      <c r="X77" s="92">
        <f t="shared" si="9"/>
        <v>0</v>
      </c>
      <c r="Y77" s="92">
        <f t="shared" si="10"/>
        <v>700</v>
      </c>
      <c r="Z77" s="67"/>
      <c r="AA77" s="67"/>
    </row>
    <row r="78" spans="1:27" ht="165" customHeight="1" x14ac:dyDescent="0.25">
      <c r="A78" s="173" t="s">
        <v>117</v>
      </c>
      <c r="B78" s="172" t="s">
        <v>269</v>
      </c>
      <c r="C78" s="170"/>
      <c r="D78" s="172" t="s">
        <v>496</v>
      </c>
      <c r="E78" s="169" t="s">
        <v>331</v>
      </c>
      <c r="F78" s="169" t="s">
        <v>329</v>
      </c>
      <c r="G78" s="168">
        <v>43839</v>
      </c>
      <c r="H78" s="168"/>
      <c r="I78" s="171">
        <v>4094.1</v>
      </c>
      <c r="J78" s="171">
        <v>4094.1</v>
      </c>
      <c r="K78" s="171">
        <v>3829.4</v>
      </c>
      <c r="L78" s="171">
        <f>7923.5-J78</f>
        <v>3829.4</v>
      </c>
      <c r="M78" s="171">
        <v>4107.7</v>
      </c>
      <c r="N78" s="171">
        <v>0</v>
      </c>
      <c r="O78" s="171">
        <v>3801.2</v>
      </c>
      <c r="P78" s="171">
        <v>0</v>
      </c>
      <c r="Q78" s="172"/>
      <c r="R78" s="83"/>
      <c r="S78" s="90">
        <v>15832.4</v>
      </c>
      <c r="T78" s="67"/>
      <c r="U78" s="67"/>
      <c r="V78" s="67"/>
      <c r="W78" s="92">
        <f t="shared" si="8"/>
        <v>15832.400000000001</v>
      </c>
      <c r="X78" s="92">
        <f t="shared" si="9"/>
        <v>7923.5</v>
      </c>
      <c r="Y78" s="92">
        <f t="shared" si="10"/>
        <v>7908.9000000000015</v>
      </c>
      <c r="Z78" s="67"/>
      <c r="AA78" s="67"/>
    </row>
    <row r="79" spans="1:27" ht="365.25" customHeight="1" x14ac:dyDescent="0.25">
      <c r="A79" s="220" t="s">
        <v>119</v>
      </c>
      <c r="B79" s="216" t="s">
        <v>270</v>
      </c>
      <c r="C79" s="223"/>
      <c r="D79" s="216" t="s">
        <v>496</v>
      </c>
      <c r="E79" s="217">
        <v>44013</v>
      </c>
      <c r="F79" s="217">
        <v>44104</v>
      </c>
      <c r="G79" s="217">
        <v>44013</v>
      </c>
      <c r="H79" s="217"/>
      <c r="I79" s="215">
        <v>0</v>
      </c>
      <c r="J79" s="215">
        <v>0</v>
      </c>
      <c r="K79" s="215">
        <v>0</v>
      </c>
      <c r="L79" s="215">
        <v>0</v>
      </c>
      <c r="M79" s="215">
        <v>1000</v>
      </c>
      <c r="N79" s="215">
        <v>0</v>
      </c>
      <c r="O79" s="215">
        <v>0</v>
      </c>
      <c r="P79" s="215">
        <v>0</v>
      </c>
      <c r="Q79" s="216"/>
      <c r="R79" s="83"/>
      <c r="S79" s="90">
        <v>1000</v>
      </c>
      <c r="T79" s="67"/>
      <c r="U79" s="67"/>
      <c r="V79" s="67"/>
      <c r="W79" s="92">
        <f t="shared" si="8"/>
        <v>1000</v>
      </c>
      <c r="X79" s="92">
        <f t="shared" si="9"/>
        <v>0</v>
      </c>
      <c r="Y79" s="92">
        <f t="shared" si="10"/>
        <v>1000</v>
      </c>
      <c r="Z79" s="67"/>
      <c r="AA79" s="67"/>
    </row>
    <row r="80" spans="1:27" ht="18.75" x14ac:dyDescent="0.25">
      <c r="A80" s="220"/>
      <c r="B80" s="216"/>
      <c r="C80" s="223"/>
      <c r="D80" s="216"/>
      <c r="E80" s="218"/>
      <c r="F80" s="218"/>
      <c r="G80" s="217"/>
      <c r="H80" s="218"/>
      <c r="I80" s="215"/>
      <c r="J80" s="215"/>
      <c r="K80" s="215"/>
      <c r="L80" s="215"/>
      <c r="M80" s="215"/>
      <c r="N80" s="215"/>
      <c r="O80" s="215"/>
      <c r="P80" s="215"/>
      <c r="Q80" s="216"/>
      <c r="R80" s="83"/>
      <c r="S80" s="90"/>
      <c r="T80" s="67"/>
      <c r="U80" s="67"/>
      <c r="V80" s="67"/>
      <c r="W80" s="92">
        <f t="shared" si="8"/>
        <v>0</v>
      </c>
      <c r="X80" s="92">
        <f t="shared" si="9"/>
        <v>0</v>
      </c>
      <c r="Y80" s="92">
        <f t="shared" si="10"/>
        <v>0</v>
      </c>
      <c r="Z80" s="67"/>
      <c r="AA80" s="67"/>
    </row>
    <row r="81" spans="1:27" ht="337.5" x14ac:dyDescent="0.25">
      <c r="A81" s="173" t="s">
        <v>121</v>
      </c>
      <c r="B81" s="172" t="s">
        <v>271</v>
      </c>
      <c r="C81" s="170"/>
      <c r="D81" s="172" t="s">
        <v>498</v>
      </c>
      <c r="E81" s="168">
        <v>44013</v>
      </c>
      <c r="F81" s="169" t="s">
        <v>329</v>
      </c>
      <c r="G81" s="168">
        <v>44013</v>
      </c>
      <c r="H81" s="168"/>
      <c r="I81" s="171">
        <v>0</v>
      </c>
      <c r="J81" s="171">
        <v>0</v>
      </c>
      <c r="K81" s="171">
        <v>0</v>
      </c>
      <c r="L81" s="171">
        <v>0</v>
      </c>
      <c r="M81" s="171">
        <v>20746</v>
      </c>
      <c r="N81" s="171">
        <v>0</v>
      </c>
      <c r="O81" s="171">
        <v>12164</v>
      </c>
      <c r="P81" s="171">
        <v>0</v>
      </c>
      <c r="Q81" s="172"/>
      <c r="R81" s="83"/>
      <c r="S81" s="90">
        <v>32910</v>
      </c>
      <c r="T81" s="67"/>
      <c r="U81" s="67"/>
      <c r="V81" s="67"/>
      <c r="W81" s="92">
        <f t="shared" si="8"/>
        <v>32910</v>
      </c>
      <c r="X81" s="92">
        <f t="shared" si="9"/>
        <v>0</v>
      </c>
      <c r="Y81" s="92">
        <f t="shared" si="10"/>
        <v>32910</v>
      </c>
      <c r="Z81" s="67"/>
      <c r="AA81" s="67"/>
    </row>
    <row r="82" spans="1:27" ht="375" customHeight="1" x14ac:dyDescent="0.25">
      <c r="A82" s="173" t="s">
        <v>123</v>
      </c>
      <c r="B82" s="172" t="s">
        <v>499</v>
      </c>
      <c r="C82" s="170"/>
      <c r="D82" s="172" t="s">
        <v>500</v>
      </c>
      <c r="E82" s="168">
        <v>43922</v>
      </c>
      <c r="F82" s="168">
        <v>44012</v>
      </c>
      <c r="G82" s="168">
        <v>43922</v>
      </c>
      <c r="H82" s="168">
        <v>44012</v>
      </c>
      <c r="I82" s="171">
        <v>0</v>
      </c>
      <c r="J82" s="171"/>
      <c r="K82" s="171">
        <v>4400</v>
      </c>
      <c r="L82" s="171">
        <v>4400</v>
      </c>
      <c r="M82" s="171">
        <v>0</v>
      </c>
      <c r="N82" s="171">
        <v>0</v>
      </c>
      <c r="O82" s="171">
        <v>0</v>
      </c>
      <c r="P82" s="171">
        <v>0</v>
      </c>
      <c r="Q82" s="172"/>
      <c r="R82" s="83"/>
      <c r="S82" s="90">
        <v>4400</v>
      </c>
      <c r="T82" s="67"/>
      <c r="U82" s="67"/>
      <c r="V82" s="67"/>
      <c r="W82" s="92">
        <f t="shared" si="8"/>
        <v>4400</v>
      </c>
      <c r="X82" s="92"/>
      <c r="Y82" s="92"/>
      <c r="Z82" s="67"/>
      <c r="AA82" s="67"/>
    </row>
    <row r="83" spans="1:27" ht="394.5" customHeight="1" x14ac:dyDescent="0.25">
      <c r="A83" s="173" t="s">
        <v>272</v>
      </c>
      <c r="B83" s="172" t="s">
        <v>502</v>
      </c>
      <c r="C83" s="170">
        <v>3</v>
      </c>
      <c r="D83" s="172" t="s">
        <v>501</v>
      </c>
      <c r="E83" s="168">
        <v>44013</v>
      </c>
      <c r="F83" s="169" t="s">
        <v>329</v>
      </c>
      <c r="G83" s="168">
        <v>44013</v>
      </c>
      <c r="H83" s="168"/>
      <c r="I83" s="171">
        <v>0</v>
      </c>
      <c r="J83" s="171">
        <v>0</v>
      </c>
      <c r="K83" s="171">
        <v>0</v>
      </c>
      <c r="L83" s="171">
        <v>0</v>
      </c>
      <c r="M83" s="171">
        <v>12000</v>
      </c>
      <c r="N83" s="171">
        <v>0</v>
      </c>
      <c r="O83" s="171">
        <v>8000</v>
      </c>
      <c r="P83" s="171">
        <v>0</v>
      </c>
      <c r="Q83" s="172"/>
      <c r="R83" s="83"/>
      <c r="S83" s="90">
        <v>20000</v>
      </c>
      <c r="T83" s="67"/>
      <c r="U83" s="67"/>
      <c r="V83" s="67"/>
      <c r="W83" s="92">
        <f t="shared" si="8"/>
        <v>20000</v>
      </c>
      <c r="X83" s="92">
        <f t="shared" si="9"/>
        <v>0</v>
      </c>
      <c r="Y83" s="92">
        <f t="shared" si="10"/>
        <v>20000</v>
      </c>
      <c r="Z83" s="67"/>
      <c r="AA83" s="67"/>
    </row>
    <row r="84" spans="1:27" ht="299.25" customHeight="1" x14ac:dyDescent="0.25">
      <c r="A84" s="173" t="s">
        <v>56</v>
      </c>
      <c r="B84" s="172" t="s">
        <v>317</v>
      </c>
      <c r="C84" s="170"/>
      <c r="D84" s="172" t="s">
        <v>496</v>
      </c>
      <c r="E84" s="168">
        <v>44013</v>
      </c>
      <c r="F84" s="168">
        <v>44196</v>
      </c>
      <c r="G84" s="168">
        <v>44013</v>
      </c>
      <c r="H84" s="169"/>
      <c r="I84" s="171">
        <v>0</v>
      </c>
      <c r="J84" s="171">
        <v>0</v>
      </c>
      <c r="K84" s="171">
        <v>0</v>
      </c>
      <c r="L84" s="171">
        <v>0</v>
      </c>
      <c r="M84" s="171">
        <v>3740.6</v>
      </c>
      <c r="N84" s="171">
        <v>0</v>
      </c>
      <c r="O84" s="171">
        <v>9292.7999999999993</v>
      </c>
      <c r="P84" s="171">
        <v>0</v>
      </c>
      <c r="Q84" s="172"/>
      <c r="R84" s="83"/>
      <c r="S84" s="90">
        <v>13033.4</v>
      </c>
      <c r="T84" s="67"/>
      <c r="U84" s="67"/>
      <c r="V84" s="67"/>
      <c r="W84" s="92">
        <f t="shared" si="8"/>
        <v>13033.4</v>
      </c>
      <c r="X84" s="92">
        <f t="shared" si="9"/>
        <v>0</v>
      </c>
      <c r="Y84" s="92">
        <f t="shared" si="10"/>
        <v>13033.4</v>
      </c>
      <c r="Z84" s="67"/>
      <c r="AA84" s="67"/>
    </row>
    <row r="85" spans="1:27" ht="256.5" customHeight="1" x14ac:dyDescent="0.25">
      <c r="A85" s="173"/>
      <c r="B85" s="172" t="s">
        <v>273</v>
      </c>
      <c r="C85" s="170">
        <v>1</v>
      </c>
      <c r="D85" s="172" t="s">
        <v>274</v>
      </c>
      <c r="E85" s="169" t="s">
        <v>25</v>
      </c>
      <c r="F85" s="168">
        <v>44196</v>
      </c>
      <c r="G85" s="169" t="s">
        <v>25</v>
      </c>
      <c r="H85" s="168"/>
      <c r="I85" s="171" t="s">
        <v>25</v>
      </c>
      <c r="J85" s="171" t="s">
        <v>25</v>
      </c>
      <c r="K85" s="171" t="s">
        <v>25</v>
      </c>
      <c r="L85" s="171" t="s">
        <v>25</v>
      </c>
      <c r="M85" s="171" t="s">
        <v>25</v>
      </c>
      <c r="N85" s="171" t="s">
        <v>25</v>
      </c>
      <c r="O85" s="171" t="s">
        <v>25</v>
      </c>
      <c r="P85" s="171" t="s">
        <v>25</v>
      </c>
      <c r="Q85" s="171"/>
      <c r="R85" s="83"/>
      <c r="S85" s="90"/>
      <c r="T85" s="67"/>
      <c r="U85" s="67"/>
      <c r="V85" s="67"/>
      <c r="W85" s="92" t="e">
        <f t="shared" si="8"/>
        <v>#VALUE!</v>
      </c>
      <c r="X85" s="92" t="e">
        <f t="shared" si="9"/>
        <v>#VALUE!</v>
      </c>
      <c r="Y85" s="92" t="e">
        <f t="shared" si="10"/>
        <v>#VALUE!</v>
      </c>
      <c r="Z85" s="67"/>
      <c r="AA85" s="67"/>
    </row>
    <row r="86" spans="1:27" ht="187.5" customHeight="1" x14ac:dyDescent="0.25">
      <c r="A86" s="101"/>
      <c r="B86" s="91" t="s">
        <v>504</v>
      </c>
      <c r="C86" s="170" t="s">
        <v>25</v>
      </c>
      <c r="D86" s="172" t="s">
        <v>503</v>
      </c>
      <c r="E86" s="169" t="s">
        <v>25</v>
      </c>
      <c r="F86" s="168">
        <v>44196</v>
      </c>
      <c r="G86" s="169" t="s">
        <v>25</v>
      </c>
      <c r="H86" s="168"/>
      <c r="I86" s="171" t="s">
        <v>25</v>
      </c>
      <c r="J86" s="171" t="s">
        <v>25</v>
      </c>
      <c r="K86" s="171" t="s">
        <v>25</v>
      </c>
      <c r="L86" s="171" t="s">
        <v>25</v>
      </c>
      <c r="M86" s="171" t="s">
        <v>25</v>
      </c>
      <c r="N86" s="171" t="s">
        <v>25</v>
      </c>
      <c r="O86" s="171" t="s">
        <v>25</v>
      </c>
      <c r="P86" s="171" t="s">
        <v>25</v>
      </c>
      <c r="Q86" s="171"/>
      <c r="R86" s="83"/>
      <c r="S86" s="90"/>
      <c r="T86" s="67"/>
      <c r="U86" s="67"/>
      <c r="V86" s="67"/>
      <c r="W86" s="92" t="e">
        <f t="shared" si="8"/>
        <v>#VALUE!</v>
      </c>
      <c r="X86" s="92" t="e">
        <f t="shared" si="9"/>
        <v>#VALUE!</v>
      </c>
      <c r="Y86" s="92" t="e">
        <f t="shared" si="10"/>
        <v>#VALUE!</v>
      </c>
      <c r="Z86" s="67"/>
      <c r="AA86" s="67"/>
    </row>
    <row r="87" spans="1:27" ht="159" customHeight="1" x14ac:dyDescent="0.25">
      <c r="A87" s="173"/>
      <c r="B87" s="172" t="s">
        <v>506</v>
      </c>
      <c r="C87" s="170" t="s">
        <v>25</v>
      </c>
      <c r="D87" s="172" t="s">
        <v>505</v>
      </c>
      <c r="E87" s="169" t="s">
        <v>25</v>
      </c>
      <c r="F87" s="168">
        <v>44196</v>
      </c>
      <c r="G87" s="169" t="s">
        <v>25</v>
      </c>
      <c r="H87" s="168"/>
      <c r="I87" s="171" t="s">
        <v>25</v>
      </c>
      <c r="J87" s="171" t="s">
        <v>25</v>
      </c>
      <c r="K87" s="171" t="s">
        <v>25</v>
      </c>
      <c r="L87" s="171" t="s">
        <v>25</v>
      </c>
      <c r="M87" s="171" t="s">
        <v>25</v>
      </c>
      <c r="N87" s="171" t="s">
        <v>25</v>
      </c>
      <c r="O87" s="171" t="s">
        <v>25</v>
      </c>
      <c r="P87" s="171" t="s">
        <v>25</v>
      </c>
      <c r="Q87" s="171"/>
      <c r="R87" s="83"/>
      <c r="S87" s="90"/>
      <c r="T87" s="67"/>
      <c r="U87" s="67"/>
      <c r="V87" s="67"/>
      <c r="W87" s="92" t="e">
        <f t="shared" si="8"/>
        <v>#VALUE!</v>
      </c>
      <c r="X87" s="92" t="e">
        <f t="shared" si="9"/>
        <v>#VALUE!</v>
      </c>
      <c r="Y87" s="92" t="e">
        <f t="shared" si="10"/>
        <v>#VALUE!</v>
      </c>
      <c r="Z87" s="67"/>
      <c r="AA87" s="67"/>
    </row>
    <row r="88" spans="1:27" ht="275.25" customHeight="1" x14ac:dyDescent="0.25">
      <c r="A88" s="173"/>
      <c r="B88" s="172" t="s">
        <v>275</v>
      </c>
      <c r="C88" s="170" t="s">
        <v>25</v>
      </c>
      <c r="D88" s="172" t="s">
        <v>496</v>
      </c>
      <c r="E88" s="169" t="s">
        <v>25</v>
      </c>
      <c r="F88" s="168">
        <v>44196</v>
      </c>
      <c r="G88" s="169" t="s">
        <v>25</v>
      </c>
      <c r="H88" s="168"/>
      <c r="I88" s="171" t="s">
        <v>25</v>
      </c>
      <c r="J88" s="171" t="s">
        <v>25</v>
      </c>
      <c r="K88" s="171" t="s">
        <v>25</v>
      </c>
      <c r="L88" s="171" t="s">
        <v>25</v>
      </c>
      <c r="M88" s="171" t="s">
        <v>25</v>
      </c>
      <c r="N88" s="171" t="s">
        <v>25</v>
      </c>
      <c r="O88" s="171" t="s">
        <v>25</v>
      </c>
      <c r="P88" s="171" t="s">
        <v>25</v>
      </c>
      <c r="Q88" s="171"/>
      <c r="R88" s="83"/>
      <c r="S88" s="90"/>
      <c r="T88" s="67"/>
      <c r="U88" s="67"/>
      <c r="V88" s="67"/>
      <c r="W88" s="92" t="e">
        <f t="shared" si="8"/>
        <v>#VALUE!</v>
      </c>
      <c r="X88" s="92" t="e">
        <f t="shared" si="9"/>
        <v>#VALUE!</v>
      </c>
      <c r="Y88" s="92" t="e">
        <f t="shared" si="10"/>
        <v>#VALUE!</v>
      </c>
      <c r="Z88" s="67"/>
      <c r="AA88" s="67"/>
    </row>
    <row r="89" spans="1:27" ht="300.75" customHeight="1" x14ac:dyDescent="0.25">
      <c r="A89" s="173"/>
      <c r="B89" s="172" t="s">
        <v>507</v>
      </c>
      <c r="C89" s="170" t="s">
        <v>25</v>
      </c>
      <c r="D89" s="172" t="s">
        <v>336</v>
      </c>
      <c r="E89" s="169" t="s">
        <v>25</v>
      </c>
      <c r="F89" s="168">
        <v>44196</v>
      </c>
      <c r="G89" s="169" t="s">
        <v>25</v>
      </c>
      <c r="H89" s="168"/>
      <c r="I89" s="171" t="s">
        <v>25</v>
      </c>
      <c r="J89" s="171" t="s">
        <v>25</v>
      </c>
      <c r="K89" s="171" t="s">
        <v>25</v>
      </c>
      <c r="L89" s="171" t="s">
        <v>25</v>
      </c>
      <c r="M89" s="171" t="s">
        <v>25</v>
      </c>
      <c r="N89" s="171" t="s">
        <v>25</v>
      </c>
      <c r="O89" s="171" t="s">
        <v>25</v>
      </c>
      <c r="P89" s="171" t="s">
        <v>25</v>
      </c>
      <c r="Q89" s="171"/>
      <c r="R89" s="83"/>
      <c r="S89" s="90"/>
      <c r="T89" s="67"/>
      <c r="U89" s="67"/>
      <c r="V89" s="67"/>
      <c r="W89" s="92"/>
      <c r="X89" s="92"/>
      <c r="Y89" s="92"/>
      <c r="Z89" s="67"/>
      <c r="AA89" s="67"/>
    </row>
    <row r="90" spans="1:27" ht="33" customHeight="1" x14ac:dyDescent="0.25">
      <c r="A90" s="93" t="s">
        <v>276</v>
      </c>
      <c r="B90" s="225" t="s">
        <v>277</v>
      </c>
      <c r="C90" s="225"/>
      <c r="D90" s="225"/>
      <c r="E90" s="225"/>
      <c r="F90" s="225"/>
      <c r="G90" s="225"/>
      <c r="H90" s="225"/>
      <c r="I90" s="138">
        <f>I92+I94+I102+I104+I105+I107+I108+I111+I109+I113+I114+I115+I116+I119+I121+I123+I125+I126+I127+I128+I130+I132+I117+I112</f>
        <v>4883832.3000000007</v>
      </c>
      <c r="J90" s="138">
        <f>J92+J94+J102+J104+J105+J107+J108+J111+J109+J113+J114+J115+J116+J119+J121+J123+J125+J126+J127+J128+J130+J132+J117+J112</f>
        <v>4949034.5000000019</v>
      </c>
      <c r="K90" s="138">
        <f>K92+K94+K102+K104+K105+K107+K108+K111+K109+K113+K114+K115+K116+K119+K121+K123+K125+K126+K127+K128+K130+K132+K117+K112+K118</f>
        <v>5619586.200000002</v>
      </c>
      <c r="L90" s="138">
        <f>L92+L94+L102+L104+L105+L107+L108+L111+L109+L113+L114+L115+L116+L119+L121+L123+L125+L126+L127+L128+L130+L132+L117+L112+L118</f>
        <v>6165873.6000000015</v>
      </c>
      <c r="M90" s="138">
        <f>M92+M94+M102+M104+M105+M107+M108+M111+M109+M113+M114+M115+M116+M119+M121+M123+M125+M126+M127+M128+M130+M132+M117+M112</f>
        <v>7638446.1000000006</v>
      </c>
      <c r="N90" s="138">
        <f>N92+N94+N102+N104+N105+N107+N108+N111+N109+N113+N114+N115+N116+N119+N121+N123+N125+N126+N127+N128+N130+N132+N117+N112</f>
        <v>0</v>
      </c>
      <c r="O90" s="138">
        <f>O92+O94+O102+O104+O105+O107+O108+O109+O111+O112+O114+O115+O116+O117+O119+O121+O123+O125+O126+O127+O128+O130+O132</f>
        <v>11343769.700000001</v>
      </c>
      <c r="P90" s="138">
        <f>P92+P94+P102+P104+P105+P107+P108+P111+P109+P113+P114+P115+P116+P119+P121+P123+P125+P126+P127+P128+P130+P132+P117+P112</f>
        <v>0</v>
      </c>
      <c r="Q90" s="171"/>
      <c r="R90" s="83"/>
      <c r="S90" s="90">
        <f>I90+K90+M90+O90</f>
        <v>29485634.300000004</v>
      </c>
      <c r="T90" s="120">
        <f>J90+L90+N90+P90</f>
        <v>11114908.100000003</v>
      </c>
      <c r="U90" s="94"/>
      <c r="V90" s="94"/>
      <c r="W90" s="92">
        <f>I90+K90+M90+O90</f>
        <v>29485634.300000004</v>
      </c>
      <c r="X90" s="92">
        <f>J90+L90+N90+P90</f>
        <v>11114908.100000003</v>
      </c>
      <c r="Y90" s="92">
        <f t="shared" si="10"/>
        <v>18370726.200000003</v>
      </c>
      <c r="Z90" s="94"/>
      <c r="AA90" s="94"/>
    </row>
    <row r="91" spans="1:27" ht="240" customHeight="1" x14ac:dyDescent="0.25">
      <c r="A91" s="173" t="s">
        <v>92</v>
      </c>
      <c r="B91" s="172" t="s">
        <v>278</v>
      </c>
      <c r="C91" s="91"/>
      <c r="D91" s="170" t="s">
        <v>25</v>
      </c>
      <c r="E91" s="95"/>
      <c r="F91" s="95"/>
      <c r="G91" s="95"/>
      <c r="H91" s="95"/>
      <c r="I91" s="171"/>
      <c r="J91" s="171"/>
      <c r="K91" s="171"/>
      <c r="L91" s="171"/>
      <c r="M91" s="171"/>
      <c r="N91" s="171"/>
      <c r="O91" s="171"/>
      <c r="P91" s="171"/>
      <c r="Q91" s="172"/>
      <c r="R91" s="83"/>
      <c r="S91" s="90"/>
      <c r="T91" s="67"/>
      <c r="U91" s="67"/>
      <c r="V91" s="67"/>
      <c r="W91" s="92">
        <f t="shared" ref="W91:W117" si="11">I91+K91+M91+O91</f>
        <v>0</v>
      </c>
      <c r="X91" s="92">
        <f t="shared" ref="X91:X118" si="12">J91+L91+N91+P91</f>
        <v>0</v>
      </c>
      <c r="Y91" s="92">
        <f t="shared" si="10"/>
        <v>0</v>
      </c>
      <c r="Z91" s="67"/>
      <c r="AA91" s="67"/>
    </row>
    <row r="92" spans="1:27" ht="258.75" customHeight="1" x14ac:dyDescent="0.25">
      <c r="A92" s="173" t="s">
        <v>35</v>
      </c>
      <c r="B92" s="172" t="s">
        <v>279</v>
      </c>
      <c r="C92" s="170"/>
      <c r="D92" s="172" t="s">
        <v>508</v>
      </c>
      <c r="E92" s="168">
        <v>43839</v>
      </c>
      <c r="F92" s="168">
        <v>44196</v>
      </c>
      <c r="G92" s="168">
        <v>43839</v>
      </c>
      <c r="H92" s="168"/>
      <c r="I92" s="171">
        <v>455383.6</v>
      </c>
      <c r="J92" s="171">
        <v>459248.6</v>
      </c>
      <c r="K92" s="171">
        <v>600235.80000000005</v>
      </c>
      <c r="L92" s="171">
        <f>L93</f>
        <v>602875.9</v>
      </c>
      <c r="M92" s="171">
        <v>677500.7</v>
      </c>
      <c r="N92" s="171">
        <v>0</v>
      </c>
      <c r="O92" s="171">
        <f>O93</f>
        <v>769353.1</v>
      </c>
      <c r="P92" s="171">
        <v>0</v>
      </c>
      <c r="Q92" s="172"/>
      <c r="R92" s="83"/>
      <c r="S92" s="90">
        <v>2503052</v>
      </c>
      <c r="T92" s="67"/>
      <c r="U92" s="67"/>
      <c r="V92" s="67"/>
      <c r="W92" s="92">
        <f t="shared" si="11"/>
        <v>2502473.1999999997</v>
      </c>
      <c r="X92" s="92">
        <f t="shared" si="12"/>
        <v>1062124.5</v>
      </c>
      <c r="Y92" s="92">
        <f t="shared" si="10"/>
        <v>1440348.6999999997</v>
      </c>
      <c r="Z92" s="67"/>
      <c r="AA92" s="67"/>
    </row>
    <row r="93" spans="1:27" ht="20.25" x14ac:dyDescent="0.25">
      <c r="A93" s="170" t="s">
        <v>95</v>
      </c>
      <c r="B93" s="172" t="s">
        <v>100</v>
      </c>
      <c r="C93" s="170"/>
      <c r="D93" s="170" t="s">
        <v>25</v>
      </c>
      <c r="E93" s="168">
        <v>43839</v>
      </c>
      <c r="F93" s="168">
        <v>44196</v>
      </c>
      <c r="G93" s="168">
        <v>43839</v>
      </c>
      <c r="H93" s="168"/>
      <c r="I93" s="171">
        <v>455383.6</v>
      </c>
      <c r="J93" s="171">
        <v>459248.6</v>
      </c>
      <c r="K93" s="171">
        <v>600235.80000000005</v>
      </c>
      <c r="L93" s="171">
        <f>1062124.5-J93</f>
        <v>602875.9</v>
      </c>
      <c r="M93" s="171">
        <v>677500.7</v>
      </c>
      <c r="N93" s="171">
        <v>0</v>
      </c>
      <c r="O93" s="171">
        <f>769931.9-578.8</f>
        <v>769353.1</v>
      </c>
      <c r="P93" s="171">
        <v>0</v>
      </c>
      <c r="Q93" s="172"/>
      <c r="R93" s="83"/>
      <c r="S93" s="90">
        <v>2503052</v>
      </c>
      <c r="T93" s="67"/>
      <c r="U93" s="67"/>
      <c r="V93" s="67"/>
      <c r="W93" s="92">
        <f t="shared" si="11"/>
        <v>2502473.1999999997</v>
      </c>
      <c r="X93" s="92">
        <f t="shared" si="12"/>
        <v>1062124.5</v>
      </c>
      <c r="Y93" s="92">
        <f t="shared" si="10"/>
        <v>1440348.6999999997</v>
      </c>
      <c r="Z93" s="67"/>
      <c r="AA93" s="67"/>
    </row>
    <row r="94" spans="1:27" ht="270" customHeight="1" x14ac:dyDescent="0.25">
      <c r="A94" s="220" t="s">
        <v>37</v>
      </c>
      <c r="B94" s="216" t="s">
        <v>280</v>
      </c>
      <c r="C94" s="223"/>
      <c r="D94" s="216" t="s">
        <v>509</v>
      </c>
      <c r="E94" s="217">
        <v>43839</v>
      </c>
      <c r="F94" s="217">
        <v>44196</v>
      </c>
      <c r="G94" s="217">
        <v>43839</v>
      </c>
      <c r="H94" s="217"/>
      <c r="I94" s="215">
        <f>I96+I97</f>
        <v>59382.100000000006</v>
      </c>
      <c r="J94" s="215">
        <v>59471.8</v>
      </c>
      <c r="K94" s="215">
        <v>82683.899999999994</v>
      </c>
      <c r="L94" s="215">
        <f>L96+L97</f>
        <v>82607.5</v>
      </c>
      <c r="M94" s="215">
        <v>196250.7</v>
      </c>
      <c r="N94" s="215">
        <v>0</v>
      </c>
      <c r="O94" s="215">
        <f>O96+O97</f>
        <v>222044.6</v>
      </c>
      <c r="P94" s="215">
        <v>0</v>
      </c>
      <c r="Q94" s="216"/>
      <c r="R94" s="83"/>
      <c r="S94" s="90">
        <v>560361.30000000005</v>
      </c>
      <c r="T94" s="67"/>
      <c r="U94" s="67"/>
      <c r="V94" s="67"/>
      <c r="W94" s="92">
        <f t="shared" si="11"/>
        <v>560361.30000000005</v>
      </c>
      <c r="X94" s="92">
        <f t="shared" si="12"/>
        <v>142079.29999999999</v>
      </c>
      <c r="Y94" s="92">
        <f t="shared" si="10"/>
        <v>418282.00000000006</v>
      </c>
      <c r="Z94" s="67"/>
      <c r="AA94" s="67"/>
    </row>
    <row r="95" spans="1:27" ht="240.75" customHeight="1" x14ac:dyDescent="0.25">
      <c r="A95" s="220"/>
      <c r="B95" s="216"/>
      <c r="C95" s="223"/>
      <c r="D95" s="216"/>
      <c r="E95" s="217"/>
      <c r="F95" s="218"/>
      <c r="G95" s="217"/>
      <c r="H95" s="218"/>
      <c r="I95" s="215"/>
      <c r="J95" s="215"/>
      <c r="K95" s="215"/>
      <c r="L95" s="215"/>
      <c r="M95" s="215"/>
      <c r="N95" s="215"/>
      <c r="O95" s="215"/>
      <c r="P95" s="215"/>
      <c r="Q95" s="216"/>
      <c r="R95" s="83"/>
      <c r="S95" s="90"/>
      <c r="T95" s="67"/>
      <c r="U95" s="67"/>
      <c r="V95" s="67"/>
      <c r="W95" s="92">
        <f t="shared" si="11"/>
        <v>0</v>
      </c>
      <c r="X95" s="92">
        <f t="shared" si="12"/>
        <v>0</v>
      </c>
      <c r="Y95" s="92">
        <f t="shared" si="10"/>
        <v>0</v>
      </c>
      <c r="Z95" s="67"/>
      <c r="AA95" s="67"/>
    </row>
    <row r="96" spans="1:27" ht="20.25" x14ac:dyDescent="0.25">
      <c r="A96" s="173" t="s">
        <v>128</v>
      </c>
      <c r="B96" s="172" t="s">
        <v>100</v>
      </c>
      <c r="C96" s="170"/>
      <c r="D96" s="170" t="s">
        <v>25</v>
      </c>
      <c r="E96" s="168">
        <v>43839</v>
      </c>
      <c r="F96" s="168">
        <v>44196</v>
      </c>
      <c r="G96" s="168">
        <v>43839</v>
      </c>
      <c r="H96" s="168"/>
      <c r="I96" s="171">
        <v>15911.7</v>
      </c>
      <c r="J96" s="171">
        <v>16001.4</v>
      </c>
      <c r="K96" s="171">
        <v>22269.8</v>
      </c>
      <c r="L96" s="171">
        <f>38194.8-J96</f>
        <v>22193.4</v>
      </c>
      <c r="M96" s="171">
        <v>87578.5</v>
      </c>
      <c r="N96" s="171">
        <v>0</v>
      </c>
      <c r="O96" s="171">
        <v>180468.6</v>
      </c>
      <c r="P96" s="171">
        <v>0</v>
      </c>
      <c r="Q96" s="172"/>
      <c r="R96" s="83"/>
      <c r="S96" s="90">
        <v>306228.59999999998</v>
      </c>
      <c r="T96" s="67"/>
      <c r="U96" s="67"/>
      <c r="V96" s="67"/>
      <c r="W96" s="92">
        <f t="shared" si="11"/>
        <v>306228.59999999998</v>
      </c>
      <c r="X96" s="92">
        <f t="shared" si="12"/>
        <v>38194.800000000003</v>
      </c>
      <c r="Y96" s="92">
        <f t="shared" si="10"/>
        <v>268033.8</v>
      </c>
      <c r="Z96" s="67"/>
      <c r="AA96" s="67"/>
    </row>
    <row r="97" spans="1:27" ht="83.25" customHeight="1" x14ac:dyDescent="0.25">
      <c r="A97" s="173" t="s">
        <v>129</v>
      </c>
      <c r="B97" s="172" t="s">
        <v>130</v>
      </c>
      <c r="C97" s="170"/>
      <c r="D97" s="170" t="s">
        <v>25</v>
      </c>
      <c r="E97" s="168">
        <v>43839</v>
      </c>
      <c r="F97" s="168">
        <v>44196</v>
      </c>
      <c r="G97" s="168">
        <v>43839</v>
      </c>
      <c r="H97" s="168"/>
      <c r="I97" s="171">
        <f>I98+I99+I100</f>
        <v>43470.400000000001</v>
      </c>
      <c r="J97" s="171">
        <v>43470.400000000001</v>
      </c>
      <c r="K97" s="171">
        <v>60414.1</v>
      </c>
      <c r="L97" s="171">
        <f>L98+L99+L100</f>
        <v>60414.1</v>
      </c>
      <c r="M97" s="171">
        <f t="shared" ref="M97" si="13">M98+M99+M100</f>
        <v>108672.2</v>
      </c>
      <c r="N97" s="171">
        <v>0</v>
      </c>
      <c r="O97" s="171">
        <f>O98+O99+O100</f>
        <v>41576</v>
      </c>
      <c r="P97" s="171">
        <v>0</v>
      </c>
      <c r="Q97" s="172"/>
      <c r="R97" s="83"/>
      <c r="S97" s="90">
        <v>254132.7</v>
      </c>
      <c r="T97" s="67"/>
      <c r="U97" s="67"/>
      <c r="V97" s="67"/>
      <c r="W97" s="92">
        <f t="shared" si="11"/>
        <v>254132.7</v>
      </c>
      <c r="X97" s="92">
        <f t="shared" si="12"/>
        <v>103884.5</v>
      </c>
      <c r="Y97" s="92">
        <f t="shared" si="10"/>
        <v>150248.20000000001</v>
      </c>
      <c r="Z97" s="67"/>
      <c r="AA97" s="67"/>
    </row>
    <row r="98" spans="1:27" ht="63.75" customHeight="1" x14ac:dyDescent="0.25">
      <c r="A98" s="173" t="s">
        <v>131</v>
      </c>
      <c r="B98" s="172" t="s">
        <v>105</v>
      </c>
      <c r="C98" s="170"/>
      <c r="D98" s="170" t="s">
        <v>25</v>
      </c>
      <c r="E98" s="168">
        <v>43839</v>
      </c>
      <c r="F98" s="168">
        <v>44196</v>
      </c>
      <c r="G98" s="168">
        <v>43839</v>
      </c>
      <c r="H98" s="168"/>
      <c r="I98" s="171">
        <v>38762</v>
      </c>
      <c r="J98" s="171">
        <v>38762</v>
      </c>
      <c r="K98" s="171">
        <v>49124</v>
      </c>
      <c r="L98" s="171">
        <f>87886-J98</f>
        <v>49124</v>
      </c>
      <c r="M98" s="171">
        <v>69240.7</v>
      </c>
      <c r="N98" s="171">
        <v>0</v>
      </c>
      <c r="O98" s="171">
        <v>37903.9</v>
      </c>
      <c r="P98" s="171">
        <v>0</v>
      </c>
      <c r="Q98" s="172"/>
      <c r="R98" s="83"/>
      <c r="S98" s="90">
        <v>195030.6</v>
      </c>
      <c r="T98" s="67"/>
      <c r="U98" s="67"/>
      <c r="V98" s="67"/>
      <c r="W98" s="92">
        <f t="shared" si="11"/>
        <v>195030.6</v>
      </c>
      <c r="X98" s="92">
        <f t="shared" si="12"/>
        <v>87886</v>
      </c>
      <c r="Y98" s="92">
        <f t="shared" si="10"/>
        <v>107144.6</v>
      </c>
      <c r="Z98" s="67"/>
      <c r="AA98" s="67"/>
    </row>
    <row r="99" spans="1:27" ht="48.75" customHeight="1" x14ac:dyDescent="0.25">
      <c r="A99" s="173" t="s">
        <v>132</v>
      </c>
      <c r="B99" s="172" t="s">
        <v>107</v>
      </c>
      <c r="C99" s="170"/>
      <c r="D99" s="170" t="s">
        <v>25</v>
      </c>
      <c r="E99" s="168">
        <v>43839</v>
      </c>
      <c r="F99" s="168">
        <v>44196</v>
      </c>
      <c r="G99" s="168">
        <v>43839</v>
      </c>
      <c r="H99" s="168"/>
      <c r="I99" s="171">
        <v>4070</v>
      </c>
      <c r="J99" s="171">
        <v>4070</v>
      </c>
      <c r="K99" s="171">
        <v>11160</v>
      </c>
      <c r="L99" s="171">
        <f>15230-J99</f>
        <v>11160</v>
      </c>
      <c r="M99" s="171">
        <v>39353.5</v>
      </c>
      <c r="N99" s="171">
        <v>0</v>
      </c>
      <c r="O99" s="171">
        <v>3216.5</v>
      </c>
      <c r="P99" s="171">
        <v>0</v>
      </c>
      <c r="Q99" s="172"/>
      <c r="R99" s="83"/>
      <c r="S99" s="90">
        <v>57800</v>
      </c>
      <c r="T99" s="67"/>
      <c r="U99" s="67"/>
      <c r="V99" s="67"/>
      <c r="W99" s="92">
        <f t="shared" si="11"/>
        <v>57800</v>
      </c>
      <c r="X99" s="92">
        <f t="shared" si="12"/>
        <v>15230</v>
      </c>
      <c r="Y99" s="92">
        <f t="shared" si="10"/>
        <v>42570</v>
      </c>
      <c r="Z99" s="67"/>
      <c r="AA99" s="67"/>
    </row>
    <row r="100" spans="1:27" ht="90" customHeight="1" x14ac:dyDescent="0.25">
      <c r="A100" s="173" t="s">
        <v>133</v>
      </c>
      <c r="B100" s="216" t="s">
        <v>510</v>
      </c>
      <c r="C100" s="223"/>
      <c r="D100" s="223" t="s">
        <v>25</v>
      </c>
      <c r="E100" s="217">
        <v>43839</v>
      </c>
      <c r="F100" s="217">
        <v>44196</v>
      </c>
      <c r="G100" s="217">
        <v>43839</v>
      </c>
      <c r="H100" s="217"/>
      <c r="I100" s="215">
        <v>638.4</v>
      </c>
      <c r="J100" s="215">
        <v>638.4</v>
      </c>
      <c r="K100" s="215">
        <v>130.1</v>
      </c>
      <c r="L100" s="215">
        <f>768.5-J100</f>
        <v>130.10000000000002</v>
      </c>
      <c r="M100" s="215">
        <v>78</v>
      </c>
      <c r="N100" s="215">
        <v>0</v>
      </c>
      <c r="O100" s="215">
        <v>455.6</v>
      </c>
      <c r="P100" s="215">
        <v>0</v>
      </c>
      <c r="Q100" s="216"/>
      <c r="R100" s="83"/>
      <c r="S100" s="90">
        <v>1302.0999999999999</v>
      </c>
      <c r="T100" s="67"/>
      <c r="U100" s="67"/>
      <c r="V100" s="67"/>
      <c r="W100" s="92">
        <f t="shared" si="11"/>
        <v>1302.0999999999999</v>
      </c>
      <c r="X100" s="92">
        <f t="shared" si="12"/>
        <v>768.5</v>
      </c>
      <c r="Y100" s="92">
        <f t="shared" si="10"/>
        <v>533.59999999999991</v>
      </c>
      <c r="Z100" s="67"/>
      <c r="AA100" s="67"/>
    </row>
    <row r="101" spans="1:27" ht="408.75" customHeight="1" x14ac:dyDescent="0.25">
      <c r="A101" s="173"/>
      <c r="B101" s="216"/>
      <c r="C101" s="223"/>
      <c r="D101" s="223"/>
      <c r="E101" s="218"/>
      <c r="F101" s="218"/>
      <c r="G101" s="217"/>
      <c r="H101" s="218"/>
      <c r="I101" s="215"/>
      <c r="J101" s="215"/>
      <c r="K101" s="215"/>
      <c r="L101" s="215"/>
      <c r="M101" s="215"/>
      <c r="N101" s="215"/>
      <c r="O101" s="215"/>
      <c r="P101" s="215"/>
      <c r="Q101" s="216"/>
      <c r="R101" s="83"/>
      <c r="S101" s="90"/>
      <c r="T101" s="67"/>
      <c r="U101" s="67"/>
      <c r="V101" s="67"/>
      <c r="W101" s="92">
        <f t="shared" si="11"/>
        <v>0</v>
      </c>
      <c r="X101" s="92">
        <f t="shared" si="12"/>
        <v>0</v>
      </c>
      <c r="Y101" s="92">
        <f t="shared" si="10"/>
        <v>0</v>
      </c>
      <c r="Z101" s="67"/>
      <c r="AA101" s="67"/>
    </row>
    <row r="102" spans="1:27" ht="327.75" customHeight="1" x14ac:dyDescent="0.25">
      <c r="A102" s="173" t="s">
        <v>97</v>
      </c>
      <c r="B102" s="91" t="s">
        <v>281</v>
      </c>
      <c r="C102" s="91"/>
      <c r="D102" s="91" t="s">
        <v>511</v>
      </c>
      <c r="E102" s="168">
        <v>43839</v>
      </c>
      <c r="F102" s="168">
        <v>44196</v>
      </c>
      <c r="G102" s="168">
        <v>43839</v>
      </c>
      <c r="H102" s="168"/>
      <c r="I102" s="171">
        <v>97853.1</v>
      </c>
      <c r="J102" s="171">
        <v>97853.1</v>
      </c>
      <c r="K102" s="171">
        <v>84000</v>
      </c>
      <c r="L102" s="171">
        <f>181853.1-J102</f>
        <v>84000</v>
      </c>
      <c r="M102" s="171">
        <v>84000</v>
      </c>
      <c r="N102" s="171">
        <v>0</v>
      </c>
      <c r="O102" s="171">
        <v>86000</v>
      </c>
      <c r="P102" s="171">
        <v>0</v>
      </c>
      <c r="Q102" s="91"/>
      <c r="R102" s="83"/>
      <c r="S102" s="90">
        <v>351853.1</v>
      </c>
      <c r="T102" s="67"/>
      <c r="U102" s="67"/>
      <c r="V102" s="67"/>
      <c r="W102" s="92">
        <f t="shared" si="11"/>
        <v>351853.1</v>
      </c>
      <c r="X102" s="92">
        <f t="shared" si="12"/>
        <v>181853.1</v>
      </c>
      <c r="Y102" s="92">
        <f t="shared" si="10"/>
        <v>169999.99999999997</v>
      </c>
      <c r="Z102" s="67"/>
      <c r="AA102" s="67"/>
    </row>
    <row r="103" spans="1:27" ht="239.25" customHeight="1" x14ac:dyDescent="0.25">
      <c r="A103" s="101"/>
      <c r="B103" s="101" t="s">
        <v>512</v>
      </c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83"/>
      <c r="S103" s="90"/>
      <c r="T103" s="67"/>
      <c r="U103" s="67"/>
      <c r="V103" s="67"/>
      <c r="W103" s="92">
        <f t="shared" si="11"/>
        <v>0</v>
      </c>
      <c r="X103" s="92">
        <f t="shared" si="12"/>
        <v>0</v>
      </c>
      <c r="Y103" s="92">
        <f t="shared" si="10"/>
        <v>0</v>
      </c>
      <c r="Z103" s="67"/>
      <c r="AA103" s="67"/>
    </row>
    <row r="104" spans="1:27" ht="129.75" customHeight="1" x14ac:dyDescent="0.25">
      <c r="A104" s="173" t="s">
        <v>39</v>
      </c>
      <c r="B104" s="172" t="s">
        <v>282</v>
      </c>
      <c r="C104" s="170"/>
      <c r="D104" s="172" t="s">
        <v>513</v>
      </c>
      <c r="E104" s="168">
        <v>43839</v>
      </c>
      <c r="F104" s="168">
        <v>44196</v>
      </c>
      <c r="G104" s="168">
        <v>43839</v>
      </c>
      <c r="H104" s="168"/>
      <c r="I104" s="171">
        <v>250634.1</v>
      </c>
      <c r="J104" s="171">
        <v>251043.20000000001</v>
      </c>
      <c r="K104" s="171">
        <v>250454.9</v>
      </c>
      <c r="L104" s="171">
        <f>501250.9-J104</f>
        <v>250207.7</v>
      </c>
      <c r="M104" s="171">
        <v>304224.2</v>
      </c>
      <c r="N104" s="171">
        <v>0</v>
      </c>
      <c r="O104" s="171">
        <v>210569.4</v>
      </c>
      <c r="P104" s="171">
        <v>0</v>
      </c>
      <c r="Q104" s="172"/>
      <c r="R104" s="83"/>
      <c r="S104" s="90">
        <v>1015882.6</v>
      </c>
      <c r="T104" s="67"/>
      <c r="U104" s="67"/>
      <c r="V104" s="67"/>
      <c r="W104" s="92">
        <f t="shared" si="11"/>
        <v>1015882.6</v>
      </c>
      <c r="X104" s="92">
        <f t="shared" si="12"/>
        <v>501250.9</v>
      </c>
      <c r="Y104" s="92">
        <f t="shared" si="10"/>
        <v>514631.69999999995</v>
      </c>
      <c r="Z104" s="67"/>
      <c r="AA104" s="67"/>
    </row>
    <row r="105" spans="1:27" ht="408.75" customHeight="1" x14ac:dyDescent="0.25">
      <c r="A105" s="220" t="s">
        <v>41</v>
      </c>
      <c r="B105" s="216" t="s">
        <v>515</v>
      </c>
      <c r="C105" s="223"/>
      <c r="D105" s="216" t="s">
        <v>514</v>
      </c>
      <c r="E105" s="217">
        <v>43839</v>
      </c>
      <c r="F105" s="217">
        <v>44196</v>
      </c>
      <c r="G105" s="217">
        <v>43839</v>
      </c>
      <c r="H105" s="217"/>
      <c r="I105" s="215">
        <v>31953.5</v>
      </c>
      <c r="J105" s="215">
        <v>31950.1</v>
      </c>
      <c r="K105" s="215">
        <v>27506.6</v>
      </c>
      <c r="L105" s="215">
        <f>66963.8-J105</f>
        <v>35013.700000000004</v>
      </c>
      <c r="M105" s="215">
        <v>68500</v>
      </c>
      <c r="N105" s="215">
        <v>0</v>
      </c>
      <c r="O105" s="215">
        <v>146098</v>
      </c>
      <c r="P105" s="215">
        <v>0</v>
      </c>
      <c r="Q105" s="216"/>
      <c r="R105" s="83"/>
      <c r="S105" s="90">
        <v>274058.09999999998</v>
      </c>
      <c r="T105" s="67"/>
      <c r="U105" s="67"/>
      <c r="V105" s="67"/>
      <c r="W105" s="92">
        <f t="shared" si="11"/>
        <v>274058.09999999998</v>
      </c>
      <c r="X105" s="92">
        <f t="shared" si="12"/>
        <v>66963.8</v>
      </c>
      <c r="Y105" s="92">
        <f t="shared" si="10"/>
        <v>207094.3</v>
      </c>
      <c r="Z105" s="67"/>
      <c r="AA105" s="67"/>
    </row>
    <row r="106" spans="1:27" ht="97.5" customHeight="1" x14ac:dyDescent="0.25">
      <c r="A106" s="220"/>
      <c r="B106" s="216"/>
      <c r="C106" s="223"/>
      <c r="D106" s="216"/>
      <c r="E106" s="217"/>
      <c r="F106" s="218"/>
      <c r="G106" s="217"/>
      <c r="H106" s="218"/>
      <c r="I106" s="215"/>
      <c r="J106" s="215"/>
      <c r="K106" s="215"/>
      <c r="L106" s="215"/>
      <c r="M106" s="215"/>
      <c r="N106" s="215"/>
      <c r="O106" s="215"/>
      <c r="P106" s="215"/>
      <c r="Q106" s="216"/>
      <c r="R106" s="83"/>
      <c r="S106" s="90"/>
      <c r="T106" s="67"/>
      <c r="U106" s="67"/>
      <c r="V106" s="67"/>
      <c r="W106" s="92">
        <f t="shared" si="11"/>
        <v>0</v>
      </c>
      <c r="X106" s="92">
        <f t="shared" si="12"/>
        <v>0</v>
      </c>
      <c r="Y106" s="92">
        <f t="shared" si="10"/>
        <v>0</v>
      </c>
      <c r="Z106" s="67"/>
      <c r="AA106" s="67"/>
    </row>
    <row r="107" spans="1:27" ht="297.75" customHeight="1" x14ac:dyDescent="0.25">
      <c r="A107" s="173" t="s">
        <v>45</v>
      </c>
      <c r="B107" s="172" t="s">
        <v>516</v>
      </c>
      <c r="C107" s="170"/>
      <c r="D107" s="172" t="s">
        <v>514</v>
      </c>
      <c r="E107" s="168">
        <v>43839</v>
      </c>
      <c r="F107" s="168">
        <v>44196</v>
      </c>
      <c r="G107" s="168">
        <v>43839</v>
      </c>
      <c r="H107" s="168"/>
      <c r="I107" s="171">
        <v>5385.8</v>
      </c>
      <c r="J107" s="171">
        <v>5394.9</v>
      </c>
      <c r="K107" s="171">
        <v>5279.8</v>
      </c>
      <c r="L107" s="171">
        <f>10665.6-J107</f>
        <v>5270.7000000000007</v>
      </c>
      <c r="M107" s="171">
        <v>6332</v>
      </c>
      <c r="N107" s="171">
        <v>0</v>
      </c>
      <c r="O107" s="171">
        <v>8330.7000000000007</v>
      </c>
      <c r="P107" s="171">
        <v>0</v>
      </c>
      <c r="Q107" s="172"/>
      <c r="R107" s="83"/>
      <c r="S107" s="90">
        <v>25328.3</v>
      </c>
      <c r="T107" s="67"/>
      <c r="U107" s="67"/>
      <c r="V107" s="67"/>
      <c r="W107" s="92">
        <f t="shared" si="11"/>
        <v>25328.3</v>
      </c>
      <c r="X107" s="92">
        <f t="shared" si="12"/>
        <v>10665.6</v>
      </c>
      <c r="Y107" s="92">
        <f t="shared" si="10"/>
        <v>14662.699999999999</v>
      </c>
      <c r="Z107" s="67"/>
      <c r="AA107" s="67"/>
    </row>
    <row r="108" spans="1:27" ht="371.25" customHeight="1" x14ac:dyDescent="0.25">
      <c r="A108" s="173" t="s">
        <v>135</v>
      </c>
      <c r="B108" s="172" t="s">
        <v>517</v>
      </c>
      <c r="C108" s="170"/>
      <c r="D108" s="172" t="s">
        <v>514</v>
      </c>
      <c r="E108" s="168">
        <v>43839</v>
      </c>
      <c r="F108" s="168">
        <v>44196</v>
      </c>
      <c r="G108" s="168">
        <v>43839</v>
      </c>
      <c r="H108" s="168"/>
      <c r="I108" s="171">
        <v>790587.8</v>
      </c>
      <c r="J108" s="171">
        <v>794238.9</v>
      </c>
      <c r="K108" s="171">
        <v>732731.8</v>
      </c>
      <c r="L108" s="171">
        <f>1525379.5-J108</f>
        <v>731140.6</v>
      </c>
      <c r="M108" s="171">
        <v>840589.9</v>
      </c>
      <c r="N108" s="171">
        <v>0</v>
      </c>
      <c r="O108" s="171">
        <v>998450</v>
      </c>
      <c r="P108" s="171">
        <v>0</v>
      </c>
      <c r="Q108" s="172"/>
      <c r="R108" s="83"/>
      <c r="S108" s="90">
        <v>3362359.5</v>
      </c>
      <c r="T108" s="67"/>
      <c r="U108" s="67"/>
      <c r="V108" s="67"/>
      <c r="W108" s="92">
        <f t="shared" si="11"/>
        <v>3362359.5</v>
      </c>
      <c r="X108" s="92">
        <f t="shared" si="12"/>
        <v>1525379.5</v>
      </c>
      <c r="Y108" s="92">
        <f t="shared" si="10"/>
        <v>1836980</v>
      </c>
      <c r="Z108" s="67"/>
      <c r="AA108" s="67"/>
    </row>
    <row r="109" spans="1:27" ht="408.75" customHeight="1" x14ac:dyDescent="0.25">
      <c r="A109" s="220" t="s">
        <v>136</v>
      </c>
      <c r="B109" s="216" t="s">
        <v>283</v>
      </c>
      <c r="C109" s="223"/>
      <c r="D109" s="216" t="s">
        <v>514</v>
      </c>
      <c r="E109" s="217">
        <v>43839</v>
      </c>
      <c r="F109" s="217">
        <v>44196</v>
      </c>
      <c r="G109" s="217">
        <v>43839</v>
      </c>
      <c r="H109" s="217"/>
      <c r="I109" s="215">
        <v>904139.2</v>
      </c>
      <c r="J109" s="215">
        <v>904409.4</v>
      </c>
      <c r="K109" s="215">
        <v>879555.6</v>
      </c>
      <c r="L109" s="215">
        <f>2028102.2-J109</f>
        <v>1123692.7999999998</v>
      </c>
      <c r="M109" s="215">
        <v>909150.4</v>
      </c>
      <c r="N109" s="215">
        <v>0</v>
      </c>
      <c r="O109" s="215">
        <v>943756.2</v>
      </c>
      <c r="P109" s="215">
        <v>0</v>
      </c>
      <c r="Q109" s="216"/>
      <c r="R109" s="83"/>
      <c r="S109" s="90">
        <v>3636601.4</v>
      </c>
      <c r="T109" s="67"/>
      <c r="U109" s="67"/>
      <c r="V109" s="67"/>
      <c r="W109" s="92">
        <f t="shared" si="11"/>
        <v>3636601.3999999994</v>
      </c>
      <c r="X109" s="92">
        <f t="shared" si="12"/>
        <v>2028102.1999999997</v>
      </c>
      <c r="Y109" s="92">
        <f t="shared" si="10"/>
        <v>1608499.1999999997</v>
      </c>
      <c r="Z109" s="67"/>
      <c r="AA109" s="67"/>
    </row>
    <row r="110" spans="1:27" ht="368.25" customHeight="1" x14ac:dyDescent="0.25">
      <c r="A110" s="220"/>
      <c r="B110" s="216"/>
      <c r="C110" s="223"/>
      <c r="D110" s="216"/>
      <c r="E110" s="217"/>
      <c r="F110" s="218"/>
      <c r="G110" s="217"/>
      <c r="H110" s="218"/>
      <c r="I110" s="215"/>
      <c r="J110" s="215"/>
      <c r="K110" s="215"/>
      <c r="L110" s="215"/>
      <c r="M110" s="215"/>
      <c r="N110" s="215"/>
      <c r="O110" s="215"/>
      <c r="P110" s="215"/>
      <c r="Q110" s="216"/>
      <c r="R110" s="83"/>
      <c r="S110" s="90"/>
      <c r="T110" s="67"/>
      <c r="U110" s="67"/>
      <c r="V110" s="67"/>
      <c r="W110" s="92">
        <f t="shared" si="11"/>
        <v>0</v>
      </c>
      <c r="X110" s="92">
        <f t="shared" si="12"/>
        <v>0</v>
      </c>
      <c r="Y110" s="92">
        <f t="shared" si="10"/>
        <v>0</v>
      </c>
      <c r="Z110" s="67"/>
      <c r="AA110" s="67"/>
    </row>
    <row r="111" spans="1:27" ht="274.5" customHeight="1" x14ac:dyDescent="0.25">
      <c r="A111" s="173" t="s">
        <v>137</v>
      </c>
      <c r="B111" s="172" t="s">
        <v>298</v>
      </c>
      <c r="C111" s="170"/>
      <c r="D111" s="172" t="s">
        <v>514</v>
      </c>
      <c r="E111" s="168">
        <v>43839</v>
      </c>
      <c r="F111" s="168">
        <v>44196</v>
      </c>
      <c r="G111" s="168">
        <v>43839</v>
      </c>
      <c r="H111" s="168"/>
      <c r="I111" s="171">
        <v>937807.8</v>
      </c>
      <c r="J111" s="171">
        <v>941450.5</v>
      </c>
      <c r="K111" s="171">
        <v>1217650.1000000001</v>
      </c>
      <c r="L111" s="171">
        <f>2157753.5-J111</f>
        <v>1216303</v>
      </c>
      <c r="M111" s="171">
        <v>1690295</v>
      </c>
      <c r="N111" s="171">
        <v>0</v>
      </c>
      <c r="O111" s="171">
        <v>2374232.1</v>
      </c>
      <c r="P111" s="171">
        <v>0</v>
      </c>
      <c r="Q111" s="172"/>
      <c r="R111" s="83"/>
      <c r="S111" s="90">
        <v>6219985</v>
      </c>
      <c r="T111" s="67"/>
      <c r="U111" s="67"/>
      <c r="V111" s="67"/>
      <c r="W111" s="92">
        <f>I111+K111+M111+O111</f>
        <v>6219985</v>
      </c>
      <c r="X111" s="92">
        <f t="shared" si="12"/>
        <v>2157753.5</v>
      </c>
      <c r="Y111" s="92">
        <f t="shared" si="10"/>
        <v>4062231.5</v>
      </c>
      <c r="Z111" s="67"/>
      <c r="AA111" s="67"/>
    </row>
    <row r="112" spans="1:27" ht="123" customHeight="1" x14ac:dyDescent="0.25">
      <c r="A112" s="173" t="s">
        <v>354</v>
      </c>
      <c r="B112" s="172" t="s">
        <v>355</v>
      </c>
      <c r="C112" s="170"/>
      <c r="D112" s="172" t="s">
        <v>514</v>
      </c>
      <c r="E112" s="168">
        <v>43983</v>
      </c>
      <c r="F112" s="168">
        <v>44196</v>
      </c>
      <c r="G112" s="168">
        <v>43983</v>
      </c>
      <c r="H112" s="168"/>
      <c r="I112" s="171">
        <v>0</v>
      </c>
      <c r="J112" s="171">
        <v>0</v>
      </c>
      <c r="K112" s="171">
        <v>305831</v>
      </c>
      <c r="L112" s="171">
        <f>559101.5-J112</f>
        <v>559101.5</v>
      </c>
      <c r="M112" s="171">
        <v>1213707.8</v>
      </c>
      <c r="N112" s="171">
        <v>0</v>
      </c>
      <c r="O112" s="171">
        <v>3335292.2</v>
      </c>
      <c r="P112" s="171">
        <v>0</v>
      </c>
      <c r="Q112" s="172"/>
      <c r="R112" s="83"/>
      <c r="S112" s="90">
        <v>4854831</v>
      </c>
      <c r="T112" s="67"/>
      <c r="U112" s="67"/>
      <c r="V112" s="67"/>
      <c r="W112" s="92">
        <f>I112+K112+M112+O112</f>
        <v>4854831</v>
      </c>
      <c r="X112" s="92">
        <f t="shared" si="12"/>
        <v>559101.5</v>
      </c>
      <c r="Y112" s="92">
        <f t="shared" si="10"/>
        <v>4295729.5</v>
      </c>
      <c r="Z112" s="67"/>
      <c r="AA112" s="67"/>
    </row>
    <row r="113" spans="1:27" ht="144" customHeight="1" x14ac:dyDescent="0.25">
      <c r="A113" s="173" t="s">
        <v>47</v>
      </c>
      <c r="B113" s="172" t="s">
        <v>139</v>
      </c>
      <c r="C113" s="170"/>
      <c r="D113" s="172" t="s">
        <v>518</v>
      </c>
      <c r="E113" s="168">
        <v>44013</v>
      </c>
      <c r="F113" s="168">
        <v>44104</v>
      </c>
      <c r="G113" s="168">
        <v>44013</v>
      </c>
      <c r="H113" s="168"/>
      <c r="I113" s="171">
        <v>0</v>
      </c>
      <c r="J113" s="171">
        <v>0</v>
      </c>
      <c r="K113" s="171">
        <v>0</v>
      </c>
      <c r="L113" s="171">
        <v>0</v>
      </c>
      <c r="M113" s="171">
        <v>17241.400000000001</v>
      </c>
      <c r="N113" s="171">
        <v>0</v>
      </c>
      <c r="O113" s="171">
        <v>0</v>
      </c>
      <c r="P113" s="171">
        <v>0</v>
      </c>
      <c r="Q113" s="172"/>
      <c r="R113" s="83"/>
      <c r="S113" s="90">
        <v>17241.400000000001</v>
      </c>
      <c r="T113" s="67"/>
      <c r="U113" s="67"/>
      <c r="V113" s="67"/>
      <c r="W113" s="92">
        <f t="shared" si="11"/>
        <v>17241.400000000001</v>
      </c>
      <c r="X113" s="92">
        <f t="shared" si="12"/>
        <v>0</v>
      </c>
      <c r="Y113" s="92">
        <f t="shared" si="10"/>
        <v>17241.400000000001</v>
      </c>
      <c r="Z113" s="67"/>
      <c r="AA113" s="67"/>
    </row>
    <row r="114" spans="1:27" ht="157.5" customHeight="1" x14ac:dyDescent="0.25">
      <c r="A114" s="173" t="s">
        <v>50</v>
      </c>
      <c r="B114" s="172" t="s">
        <v>140</v>
      </c>
      <c r="C114" s="170"/>
      <c r="D114" s="172" t="s">
        <v>519</v>
      </c>
      <c r="E114" s="168">
        <v>43839</v>
      </c>
      <c r="F114" s="168">
        <v>44196</v>
      </c>
      <c r="G114" s="168">
        <v>43839</v>
      </c>
      <c r="H114" s="168"/>
      <c r="I114" s="171">
        <v>14600</v>
      </c>
      <c r="J114" s="171">
        <v>14600</v>
      </c>
      <c r="K114" s="171">
        <v>11400</v>
      </c>
      <c r="L114" s="171">
        <f>26000-J114</f>
        <v>11400</v>
      </c>
      <c r="M114" s="171">
        <v>19310</v>
      </c>
      <c r="N114" s="171">
        <v>0</v>
      </c>
      <c r="O114" s="171">
        <v>31931.5</v>
      </c>
      <c r="P114" s="171">
        <v>0</v>
      </c>
      <c r="Q114" s="172"/>
      <c r="R114" s="83"/>
      <c r="S114" s="90">
        <v>77241.5</v>
      </c>
      <c r="T114" s="67"/>
      <c r="U114" s="67"/>
      <c r="V114" s="67"/>
      <c r="W114" s="92">
        <f t="shared" si="11"/>
        <v>77241.5</v>
      </c>
      <c r="X114" s="92">
        <f t="shared" si="12"/>
        <v>26000</v>
      </c>
      <c r="Y114" s="92">
        <f t="shared" ref="Y114:Y138" si="14">W114-X114</f>
        <v>51241.5</v>
      </c>
      <c r="Z114" s="67"/>
      <c r="AA114" s="67"/>
    </row>
    <row r="115" spans="1:27" ht="126" customHeight="1" x14ac:dyDescent="0.25">
      <c r="A115" s="173" t="s">
        <v>53</v>
      </c>
      <c r="B115" s="172" t="s">
        <v>284</v>
      </c>
      <c r="C115" s="170"/>
      <c r="D115" s="172" t="s">
        <v>514</v>
      </c>
      <c r="E115" s="168">
        <v>43839</v>
      </c>
      <c r="F115" s="168">
        <v>44196</v>
      </c>
      <c r="G115" s="168">
        <v>43839</v>
      </c>
      <c r="H115" s="168"/>
      <c r="I115" s="171">
        <v>340316.5</v>
      </c>
      <c r="J115" s="171">
        <v>340340.9</v>
      </c>
      <c r="K115" s="171">
        <v>344529.3</v>
      </c>
      <c r="L115" s="171">
        <f>684961-J115</f>
        <v>344620.1</v>
      </c>
      <c r="M115" s="171">
        <v>342449.2</v>
      </c>
      <c r="N115" s="171">
        <v>0</v>
      </c>
      <c r="O115" s="171">
        <v>342501.8</v>
      </c>
      <c r="P115" s="171">
        <v>0</v>
      </c>
      <c r="Q115" s="172"/>
      <c r="R115" s="83"/>
      <c r="S115" s="90">
        <v>1369796.8</v>
      </c>
      <c r="T115" s="67"/>
      <c r="U115" s="67"/>
      <c r="V115" s="67"/>
      <c r="W115" s="92">
        <f t="shared" si="11"/>
        <v>1369796.8</v>
      </c>
      <c r="X115" s="92">
        <f t="shared" si="12"/>
        <v>684961</v>
      </c>
      <c r="Y115" s="92">
        <f t="shared" si="14"/>
        <v>684835.8</v>
      </c>
      <c r="Z115" s="67"/>
      <c r="AA115" s="67"/>
    </row>
    <row r="116" spans="1:27" ht="141" customHeight="1" x14ac:dyDescent="0.25">
      <c r="A116" s="173" t="s">
        <v>113</v>
      </c>
      <c r="B116" s="172" t="s">
        <v>142</v>
      </c>
      <c r="C116" s="170"/>
      <c r="D116" s="172" t="s">
        <v>520</v>
      </c>
      <c r="E116" s="168">
        <v>43839</v>
      </c>
      <c r="F116" s="168">
        <v>44196</v>
      </c>
      <c r="G116" s="168">
        <v>43839</v>
      </c>
      <c r="H116" s="168"/>
      <c r="I116" s="171">
        <v>6354.9</v>
      </c>
      <c r="J116" s="171">
        <v>6390.6</v>
      </c>
      <c r="K116" s="171">
        <v>7876.4</v>
      </c>
      <c r="L116" s="171">
        <f>14303.4-J116</f>
        <v>7912.7999999999993</v>
      </c>
      <c r="M116" s="171">
        <v>9293.9</v>
      </c>
      <c r="N116" s="171">
        <v>0</v>
      </c>
      <c r="O116" s="171">
        <v>13650.7</v>
      </c>
      <c r="P116" s="171">
        <v>0</v>
      </c>
      <c r="Q116" s="172"/>
      <c r="R116" s="83"/>
      <c r="S116" s="90">
        <v>37175.9</v>
      </c>
      <c r="T116" s="67"/>
      <c r="U116" s="67"/>
      <c r="V116" s="67"/>
      <c r="W116" s="92">
        <f t="shared" si="11"/>
        <v>37175.899999999994</v>
      </c>
      <c r="X116" s="92">
        <f t="shared" si="12"/>
        <v>14303.4</v>
      </c>
      <c r="Y116" s="92">
        <f t="shared" si="14"/>
        <v>22872.499999999993</v>
      </c>
      <c r="Z116" s="67"/>
      <c r="AA116" s="67"/>
    </row>
    <row r="117" spans="1:27" ht="180" customHeight="1" x14ac:dyDescent="0.25">
      <c r="A117" s="173" t="s">
        <v>117</v>
      </c>
      <c r="B117" s="172" t="s">
        <v>285</v>
      </c>
      <c r="C117" s="170"/>
      <c r="D117" s="172" t="s">
        <v>521</v>
      </c>
      <c r="E117" s="168">
        <v>43839</v>
      </c>
      <c r="F117" s="168">
        <v>44196</v>
      </c>
      <c r="G117" s="168">
        <v>43839</v>
      </c>
      <c r="H117" s="168"/>
      <c r="I117" s="171">
        <v>97750.2</v>
      </c>
      <c r="J117" s="171">
        <v>100666.9</v>
      </c>
      <c r="K117" s="171">
        <v>90104.1</v>
      </c>
      <c r="L117" s="171">
        <f>190051.7-J117</f>
        <v>89384.800000000017</v>
      </c>
      <c r="M117" s="171">
        <v>230848.2</v>
      </c>
      <c r="N117" s="171">
        <v>0</v>
      </c>
      <c r="O117" s="171">
        <v>504690.5</v>
      </c>
      <c r="P117" s="171">
        <v>0</v>
      </c>
      <c r="Q117" s="172"/>
      <c r="R117" s="83"/>
      <c r="S117" s="90">
        <v>923393</v>
      </c>
      <c r="T117" s="67"/>
      <c r="U117" s="67"/>
      <c r="V117" s="67"/>
      <c r="W117" s="92">
        <f t="shared" si="11"/>
        <v>923393</v>
      </c>
      <c r="X117" s="92">
        <f t="shared" si="12"/>
        <v>190051.7</v>
      </c>
      <c r="Y117" s="92">
        <f t="shared" si="14"/>
        <v>733341.3</v>
      </c>
      <c r="Z117" s="67"/>
      <c r="AA117" s="67"/>
    </row>
    <row r="118" spans="1:27" ht="63" customHeight="1" x14ac:dyDescent="0.25">
      <c r="A118" s="173" t="s">
        <v>119</v>
      </c>
      <c r="B118" s="172" t="s">
        <v>286</v>
      </c>
      <c r="C118" s="170"/>
      <c r="D118" s="172" t="s">
        <v>522</v>
      </c>
      <c r="E118" s="168">
        <v>43922</v>
      </c>
      <c r="F118" s="168">
        <v>44012</v>
      </c>
      <c r="G118" s="168">
        <v>43922</v>
      </c>
      <c r="H118" s="168">
        <v>44012</v>
      </c>
      <c r="I118" s="171">
        <v>0</v>
      </c>
      <c r="J118" s="171">
        <v>0</v>
      </c>
      <c r="K118" s="171">
        <v>203.5</v>
      </c>
      <c r="L118" s="171">
        <v>203.5</v>
      </c>
      <c r="M118" s="171">
        <v>0</v>
      </c>
      <c r="N118" s="171">
        <v>0</v>
      </c>
      <c r="O118" s="171">
        <v>0</v>
      </c>
      <c r="P118" s="171">
        <v>0</v>
      </c>
      <c r="Q118" s="172"/>
      <c r="R118" s="83"/>
      <c r="S118" s="90">
        <v>203.5</v>
      </c>
      <c r="T118" s="67"/>
      <c r="U118" s="67"/>
      <c r="V118" s="67"/>
      <c r="W118" s="92">
        <f t="shared" ref="W118:W134" si="15">I118+K118+M118+O118</f>
        <v>203.5</v>
      </c>
      <c r="X118" s="92">
        <f t="shared" si="12"/>
        <v>203.5</v>
      </c>
      <c r="Y118" s="92">
        <f t="shared" si="14"/>
        <v>0</v>
      </c>
      <c r="Z118" s="67"/>
      <c r="AA118" s="67"/>
    </row>
    <row r="119" spans="1:27" ht="408.75" customHeight="1" x14ac:dyDescent="0.25">
      <c r="A119" s="220" t="s">
        <v>56</v>
      </c>
      <c r="B119" s="216" t="s">
        <v>524</v>
      </c>
      <c r="C119" s="223"/>
      <c r="D119" s="216" t="s">
        <v>523</v>
      </c>
      <c r="E119" s="217">
        <v>43839</v>
      </c>
      <c r="F119" s="217">
        <v>44196</v>
      </c>
      <c r="G119" s="217">
        <v>43839</v>
      </c>
      <c r="H119" s="217"/>
      <c r="I119" s="215">
        <v>458504.1</v>
      </c>
      <c r="J119" s="215">
        <v>481461.6</v>
      </c>
      <c r="K119" s="215">
        <v>448776.5</v>
      </c>
      <c r="L119" s="215">
        <f>957773-J119</f>
        <v>476311.4</v>
      </c>
      <c r="M119" s="215">
        <v>472924.8</v>
      </c>
      <c r="N119" s="215">
        <v>0</v>
      </c>
      <c r="O119" s="215">
        <v>558011</v>
      </c>
      <c r="P119" s="215">
        <v>0</v>
      </c>
      <c r="Q119" s="216"/>
      <c r="R119" s="83"/>
      <c r="S119" s="90">
        <v>1938216.4</v>
      </c>
      <c r="T119" s="67"/>
      <c r="U119" s="67"/>
      <c r="V119" s="67"/>
      <c r="W119" s="92">
        <f t="shared" si="15"/>
        <v>1938216.4</v>
      </c>
      <c r="X119" s="92">
        <f t="shared" ref="X119:X134" si="16">J119+L119+N119+P119</f>
        <v>957773</v>
      </c>
      <c r="Y119" s="92">
        <f t="shared" si="14"/>
        <v>980443.39999999991</v>
      </c>
      <c r="Z119" s="67"/>
      <c r="AA119" s="67"/>
    </row>
    <row r="120" spans="1:27" ht="10.5" hidden="1" customHeight="1" x14ac:dyDescent="0.25">
      <c r="A120" s="220"/>
      <c r="B120" s="216"/>
      <c r="C120" s="223"/>
      <c r="D120" s="216"/>
      <c r="E120" s="218"/>
      <c r="F120" s="218"/>
      <c r="G120" s="217"/>
      <c r="H120" s="218"/>
      <c r="I120" s="215"/>
      <c r="J120" s="215"/>
      <c r="K120" s="215"/>
      <c r="L120" s="215"/>
      <c r="M120" s="215"/>
      <c r="N120" s="215"/>
      <c r="O120" s="215"/>
      <c r="P120" s="215"/>
      <c r="Q120" s="216"/>
      <c r="R120" s="83"/>
      <c r="S120" s="90"/>
      <c r="T120" s="67"/>
      <c r="U120" s="67"/>
      <c r="V120" s="67"/>
      <c r="W120" s="92">
        <f t="shared" si="15"/>
        <v>0</v>
      </c>
      <c r="X120" s="92">
        <f t="shared" si="16"/>
        <v>0</v>
      </c>
      <c r="Y120" s="92">
        <f t="shared" si="14"/>
        <v>0</v>
      </c>
      <c r="Z120" s="67"/>
      <c r="AA120" s="67"/>
    </row>
    <row r="121" spans="1:27" ht="213" customHeight="1" x14ac:dyDescent="0.25">
      <c r="A121" s="173" t="s">
        <v>58</v>
      </c>
      <c r="B121" s="91" t="s">
        <v>287</v>
      </c>
      <c r="C121" s="91"/>
      <c r="D121" s="91" t="s">
        <v>525</v>
      </c>
      <c r="E121" s="168">
        <v>43839</v>
      </c>
      <c r="F121" s="168">
        <v>44196</v>
      </c>
      <c r="G121" s="168">
        <v>43839</v>
      </c>
      <c r="H121" s="168"/>
      <c r="I121" s="171">
        <v>326201.3</v>
      </c>
      <c r="J121" s="171">
        <v>346837.4</v>
      </c>
      <c r="K121" s="171">
        <v>396443.5</v>
      </c>
      <c r="L121" s="171">
        <f>753965.5-J121</f>
        <v>407128.1</v>
      </c>
      <c r="M121" s="171">
        <v>404328.8</v>
      </c>
      <c r="N121" s="171">
        <v>0</v>
      </c>
      <c r="O121" s="171">
        <v>540144</v>
      </c>
      <c r="P121" s="171">
        <v>0</v>
      </c>
      <c r="Q121" s="91"/>
      <c r="R121" s="83"/>
      <c r="S121" s="90">
        <v>1667117.6</v>
      </c>
      <c r="T121" s="67"/>
      <c r="U121" s="67"/>
      <c r="V121" s="67"/>
      <c r="W121" s="92">
        <f t="shared" si="15"/>
        <v>1667117.6</v>
      </c>
      <c r="X121" s="92">
        <f t="shared" si="16"/>
        <v>753965.5</v>
      </c>
      <c r="Y121" s="92">
        <f t="shared" si="14"/>
        <v>913152.10000000009</v>
      </c>
      <c r="Z121" s="67"/>
      <c r="AA121" s="67"/>
    </row>
    <row r="122" spans="1:27" ht="307.5" customHeight="1" x14ac:dyDescent="0.25">
      <c r="A122" s="173"/>
      <c r="B122" s="176" t="s">
        <v>526</v>
      </c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83"/>
      <c r="S122" s="90"/>
      <c r="T122" s="67"/>
      <c r="U122" s="67"/>
      <c r="V122" s="67"/>
      <c r="W122" s="92">
        <f t="shared" si="15"/>
        <v>0</v>
      </c>
      <c r="X122" s="92">
        <f t="shared" si="16"/>
        <v>0</v>
      </c>
      <c r="Y122" s="92">
        <f t="shared" si="14"/>
        <v>0</v>
      </c>
      <c r="Z122" s="67"/>
      <c r="AA122" s="67"/>
    </row>
    <row r="123" spans="1:27" ht="408.75" customHeight="1" x14ac:dyDescent="0.25">
      <c r="A123" s="220" t="s">
        <v>146</v>
      </c>
      <c r="B123" s="216" t="s">
        <v>288</v>
      </c>
      <c r="C123" s="223"/>
      <c r="D123" s="216" t="s">
        <v>525</v>
      </c>
      <c r="E123" s="217">
        <v>43839</v>
      </c>
      <c r="F123" s="217">
        <v>44196</v>
      </c>
      <c r="G123" s="217">
        <v>43839</v>
      </c>
      <c r="H123" s="217"/>
      <c r="I123" s="215">
        <v>2025.4</v>
      </c>
      <c r="J123" s="215">
        <v>2066.9</v>
      </c>
      <c r="K123" s="215">
        <v>2114.1999999999998</v>
      </c>
      <c r="L123" s="215">
        <f>4418.3-J123</f>
        <v>2351.4</v>
      </c>
      <c r="M123" s="215">
        <v>2708.6</v>
      </c>
      <c r="N123" s="215">
        <v>0</v>
      </c>
      <c r="O123" s="215">
        <v>9134.5</v>
      </c>
      <c r="P123" s="215">
        <v>0</v>
      </c>
      <c r="Q123" s="216"/>
      <c r="R123" s="83"/>
      <c r="S123" s="90">
        <v>15982.7</v>
      </c>
      <c r="T123" s="67"/>
      <c r="U123" s="67"/>
      <c r="V123" s="67"/>
      <c r="W123" s="92">
        <f t="shared" si="15"/>
        <v>15982.7</v>
      </c>
      <c r="X123" s="92">
        <f t="shared" si="16"/>
        <v>4418.3</v>
      </c>
      <c r="Y123" s="92">
        <f t="shared" si="14"/>
        <v>11564.400000000001</v>
      </c>
      <c r="Z123" s="67"/>
      <c r="AA123" s="67"/>
    </row>
    <row r="124" spans="1:27" ht="117" customHeight="1" x14ac:dyDescent="0.25">
      <c r="A124" s="220"/>
      <c r="B124" s="216"/>
      <c r="C124" s="223"/>
      <c r="D124" s="216"/>
      <c r="E124" s="218"/>
      <c r="F124" s="218"/>
      <c r="G124" s="217"/>
      <c r="H124" s="218"/>
      <c r="I124" s="215"/>
      <c r="J124" s="215"/>
      <c r="K124" s="215"/>
      <c r="L124" s="215"/>
      <c r="M124" s="215"/>
      <c r="N124" s="215"/>
      <c r="O124" s="215"/>
      <c r="P124" s="215"/>
      <c r="Q124" s="216"/>
      <c r="R124" s="83"/>
      <c r="S124" s="90"/>
      <c r="T124" s="67"/>
      <c r="U124" s="67"/>
      <c r="V124" s="67"/>
      <c r="W124" s="92">
        <f t="shared" si="15"/>
        <v>0</v>
      </c>
      <c r="X124" s="92">
        <f t="shared" si="16"/>
        <v>0</v>
      </c>
      <c r="Y124" s="92">
        <f t="shared" si="14"/>
        <v>0</v>
      </c>
      <c r="Z124" s="67"/>
      <c r="AA124" s="67"/>
    </row>
    <row r="125" spans="1:27" ht="409.5" x14ac:dyDescent="0.25">
      <c r="A125" s="173" t="s">
        <v>147</v>
      </c>
      <c r="B125" s="91" t="s">
        <v>304</v>
      </c>
      <c r="C125" s="91"/>
      <c r="D125" s="91" t="s">
        <v>525</v>
      </c>
      <c r="E125" s="168">
        <v>43839</v>
      </c>
      <c r="F125" s="168">
        <v>44196</v>
      </c>
      <c r="G125" s="168">
        <v>43839</v>
      </c>
      <c r="H125" s="168"/>
      <c r="I125" s="171">
        <v>2077.5</v>
      </c>
      <c r="J125" s="171">
        <v>2134.5</v>
      </c>
      <c r="K125" s="171">
        <v>2776.6</v>
      </c>
      <c r="L125" s="171">
        <f>4938.2-J125</f>
        <v>2803.7</v>
      </c>
      <c r="M125" s="171">
        <v>3274.4</v>
      </c>
      <c r="N125" s="171">
        <v>0</v>
      </c>
      <c r="O125" s="171">
        <v>12180.8</v>
      </c>
      <c r="P125" s="171">
        <v>0</v>
      </c>
      <c r="Q125" s="91"/>
      <c r="R125" s="83"/>
      <c r="S125" s="90">
        <v>20309.3</v>
      </c>
      <c r="T125" s="67"/>
      <c r="U125" s="67"/>
      <c r="V125" s="67"/>
      <c r="W125" s="92">
        <f t="shared" si="15"/>
        <v>20309.3</v>
      </c>
      <c r="X125" s="92">
        <f t="shared" si="16"/>
        <v>4938.2</v>
      </c>
      <c r="Y125" s="92">
        <f t="shared" si="14"/>
        <v>15371.099999999999</v>
      </c>
      <c r="Z125" s="67"/>
      <c r="AA125" s="67"/>
    </row>
    <row r="126" spans="1:27" ht="408.75" customHeight="1" x14ac:dyDescent="0.25">
      <c r="A126" s="173" t="s">
        <v>148</v>
      </c>
      <c r="B126" s="172" t="s">
        <v>289</v>
      </c>
      <c r="C126" s="170"/>
      <c r="D126" s="172" t="s">
        <v>525</v>
      </c>
      <c r="E126" s="168">
        <v>43839</v>
      </c>
      <c r="F126" s="168">
        <v>44196</v>
      </c>
      <c r="G126" s="168">
        <v>43839</v>
      </c>
      <c r="H126" s="168"/>
      <c r="I126" s="171">
        <v>64699.3</v>
      </c>
      <c r="J126" s="171">
        <v>69173.899999999994</v>
      </c>
      <c r="K126" s="171">
        <v>83844.899999999994</v>
      </c>
      <c r="L126" s="171">
        <f>154938.3-J126</f>
        <v>85764.4</v>
      </c>
      <c r="M126" s="171">
        <v>92620</v>
      </c>
      <c r="N126" s="171">
        <v>0</v>
      </c>
      <c r="O126" s="171">
        <v>148650.70000000001</v>
      </c>
      <c r="P126" s="171">
        <v>0</v>
      </c>
      <c r="Q126" s="172"/>
      <c r="R126" s="83"/>
      <c r="S126" s="90">
        <v>389814.9</v>
      </c>
      <c r="T126" s="67"/>
      <c r="U126" s="67"/>
      <c r="V126" s="67"/>
      <c r="W126" s="92">
        <f t="shared" si="15"/>
        <v>389814.9</v>
      </c>
      <c r="X126" s="92">
        <f t="shared" si="16"/>
        <v>154938.29999999999</v>
      </c>
      <c r="Y126" s="92">
        <f t="shared" si="14"/>
        <v>234876.60000000003</v>
      </c>
      <c r="Z126" s="67"/>
      <c r="AA126" s="67"/>
    </row>
    <row r="127" spans="1:27" ht="291" customHeight="1" x14ac:dyDescent="0.25">
      <c r="A127" s="173" t="s">
        <v>149</v>
      </c>
      <c r="B127" s="91" t="s">
        <v>558</v>
      </c>
      <c r="C127" s="91"/>
      <c r="D127" s="91" t="s">
        <v>527</v>
      </c>
      <c r="E127" s="168">
        <v>43839</v>
      </c>
      <c r="F127" s="168">
        <v>44196</v>
      </c>
      <c r="G127" s="168">
        <v>43839</v>
      </c>
      <c r="H127" s="168"/>
      <c r="I127" s="171">
        <v>5273.8</v>
      </c>
      <c r="J127" s="171">
        <v>5569.5</v>
      </c>
      <c r="K127" s="171">
        <v>5726.4</v>
      </c>
      <c r="L127" s="171">
        <f>11349.8-J127</f>
        <v>5780.2999999999993</v>
      </c>
      <c r="M127" s="171">
        <v>6380.6</v>
      </c>
      <c r="N127" s="171">
        <v>0</v>
      </c>
      <c r="O127" s="171">
        <v>10814.4</v>
      </c>
      <c r="P127" s="171">
        <v>0</v>
      </c>
      <c r="Q127" s="91"/>
      <c r="R127" s="83"/>
      <c r="S127" s="90">
        <v>28195.200000000001</v>
      </c>
      <c r="T127" s="67"/>
      <c r="U127" s="67"/>
      <c r="V127" s="67"/>
      <c r="W127" s="92">
        <f t="shared" si="15"/>
        <v>28195.200000000004</v>
      </c>
      <c r="X127" s="92">
        <f t="shared" si="16"/>
        <v>11349.8</v>
      </c>
      <c r="Y127" s="92">
        <f t="shared" si="14"/>
        <v>16845.400000000005</v>
      </c>
      <c r="Z127" s="67"/>
      <c r="AA127" s="67"/>
    </row>
    <row r="128" spans="1:27" ht="312.75" customHeight="1" x14ac:dyDescent="0.25">
      <c r="A128" s="220" t="s">
        <v>150</v>
      </c>
      <c r="B128" s="216" t="s">
        <v>290</v>
      </c>
      <c r="C128" s="223"/>
      <c r="D128" s="216" t="s">
        <v>528</v>
      </c>
      <c r="E128" s="217">
        <v>43839</v>
      </c>
      <c r="F128" s="217">
        <v>44196</v>
      </c>
      <c r="G128" s="217">
        <v>43839</v>
      </c>
      <c r="H128" s="217"/>
      <c r="I128" s="215">
        <v>32701.9</v>
      </c>
      <c r="J128" s="215">
        <v>34531.4</v>
      </c>
      <c r="K128" s="215">
        <v>39119.199999999997</v>
      </c>
      <c r="L128" s="215">
        <f>75070.3-J128</f>
        <v>40538.9</v>
      </c>
      <c r="M128" s="215">
        <v>42537.9</v>
      </c>
      <c r="N128" s="215">
        <v>0</v>
      </c>
      <c r="O128" s="215">
        <v>68915</v>
      </c>
      <c r="P128" s="215">
        <v>0</v>
      </c>
      <c r="Q128" s="216"/>
      <c r="R128" s="83"/>
      <c r="S128" s="90">
        <v>183274</v>
      </c>
      <c r="T128" s="67"/>
      <c r="U128" s="67"/>
      <c r="V128" s="67"/>
      <c r="W128" s="92">
        <f t="shared" si="15"/>
        <v>183274</v>
      </c>
      <c r="X128" s="92">
        <f t="shared" si="16"/>
        <v>75070.3</v>
      </c>
      <c r="Y128" s="92">
        <f t="shared" si="14"/>
        <v>108203.7</v>
      </c>
      <c r="Z128" s="67"/>
      <c r="AA128" s="67"/>
    </row>
    <row r="129" spans="1:27" ht="18.75" hidden="1" x14ac:dyDescent="0.25">
      <c r="A129" s="220"/>
      <c r="B129" s="216"/>
      <c r="C129" s="223"/>
      <c r="D129" s="216"/>
      <c r="E129" s="224"/>
      <c r="F129" s="218"/>
      <c r="G129" s="217"/>
      <c r="H129" s="218"/>
      <c r="I129" s="215"/>
      <c r="J129" s="215"/>
      <c r="K129" s="215"/>
      <c r="L129" s="215"/>
      <c r="M129" s="215"/>
      <c r="N129" s="215"/>
      <c r="O129" s="215"/>
      <c r="P129" s="215"/>
      <c r="Q129" s="216"/>
      <c r="R129" s="83"/>
      <c r="S129" s="90"/>
      <c r="T129" s="67"/>
      <c r="U129" s="67"/>
      <c r="V129" s="67"/>
      <c r="W129" s="92">
        <f t="shared" si="15"/>
        <v>0</v>
      </c>
      <c r="X129" s="92">
        <f t="shared" si="16"/>
        <v>0</v>
      </c>
      <c r="Y129" s="92">
        <f t="shared" si="14"/>
        <v>0</v>
      </c>
      <c r="Z129" s="67"/>
      <c r="AA129" s="67"/>
    </row>
    <row r="130" spans="1:27" ht="382.5" customHeight="1" x14ac:dyDescent="0.25">
      <c r="A130" s="220" t="s">
        <v>151</v>
      </c>
      <c r="B130" s="216" t="s">
        <v>530</v>
      </c>
      <c r="C130" s="223"/>
      <c r="D130" s="216" t="s">
        <v>529</v>
      </c>
      <c r="E130" s="217">
        <v>43839</v>
      </c>
      <c r="F130" s="217">
        <v>44196</v>
      </c>
      <c r="G130" s="217">
        <v>43839</v>
      </c>
      <c r="H130" s="217"/>
      <c r="I130" s="215">
        <v>25.4</v>
      </c>
      <c r="J130" s="215">
        <v>25.4</v>
      </c>
      <c r="K130" s="215">
        <v>105.9</v>
      </c>
      <c r="L130" s="215">
        <f>131.3-J130</f>
        <v>105.9</v>
      </c>
      <c r="M130" s="215">
        <v>250</v>
      </c>
      <c r="N130" s="215">
        <v>0</v>
      </c>
      <c r="O130" s="215">
        <v>523.9</v>
      </c>
      <c r="P130" s="215">
        <v>0</v>
      </c>
      <c r="Q130" s="216"/>
      <c r="R130" s="83"/>
      <c r="S130" s="90">
        <v>905.2</v>
      </c>
      <c r="T130" s="67"/>
      <c r="U130" s="67"/>
      <c r="V130" s="67"/>
      <c r="W130" s="92">
        <f t="shared" si="15"/>
        <v>905.2</v>
      </c>
      <c r="X130" s="92">
        <f t="shared" si="16"/>
        <v>131.30000000000001</v>
      </c>
      <c r="Y130" s="92">
        <f t="shared" si="14"/>
        <v>773.90000000000009</v>
      </c>
      <c r="Z130" s="67"/>
      <c r="AA130" s="67"/>
    </row>
    <row r="131" spans="1:27" ht="125.25" customHeight="1" x14ac:dyDescent="0.25">
      <c r="A131" s="220"/>
      <c r="B131" s="216"/>
      <c r="C131" s="223"/>
      <c r="D131" s="216"/>
      <c r="E131" s="218"/>
      <c r="F131" s="218"/>
      <c r="G131" s="217"/>
      <c r="H131" s="218"/>
      <c r="I131" s="215"/>
      <c r="J131" s="215"/>
      <c r="K131" s="215"/>
      <c r="L131" s="215"/>
      <c r="M131" s="215"/>
      <c r="N131" s="215"/>
      <c r="O131" s="215"/>
      <c r="P131" s="215"/>
      <c r="Q131" s="216"/>
      <c r="R131" s="83"/>
      <c r="S131" s="90"/>
      <c r="T131" s="67"/>
      <c r="U131" s="67"/>
      <c r="V131" s="67"/>
      <c r="W131" s="92">
        <f t="shared" si="15"/>
        <v>0</v>
      </c>
      <c r="X131" s="92">
        <f t="shared" si="16"/>
        <v>0</v>
      </c>
      <c r="Y131" s="92">
        <f t="shared" si="14"/>
        <v>0</v>
      </c>
      <c r="Z131" s="67"/>
      <c r="AA131" s="67"/>
    </row>
    <row r="132" spans="1:27" ht="237.75" customHeight="1" x14ac:dyDescent="0.25">
      <c r="A132" s="220" t="s">
        <v>69</v>
      </c>
      <c r="B132" s="216" t="s">
        <v>291</v>
      </c>
      <c r="C132" s="221"/>
      <c r="D132" s="222" t="s">
        <v>493</v>
      </c>
      <c r="E132" s="217">
        <v>43839</v>
      </c>
      <c r="F132" s="217">
        <v>44196</v>
      </c>
      <c r="G132" s="217">
        <v>43839</v>
      </c>
      <c r="H132" s="217"/>
      <c r="I132" s="215">
        <v>175</v>
      </c>
      <c r="J132" s="215">
        <v>175</v>
      </c>
      <c r="K132" s="215">
        <v>636.20000000000005</v>
      </c>
      <c r="L132" s="215">
        <f>1529.9-J132</f>
        <v>1354.9</v>
      </c>
      <c r="M132" s="215">
        <v>3727.6</v>
      </c>
      <c r="N132" s="215">
        <v>0</v>
      </c>
      <c r="O132" s="215">
        <v>8494.6</v>
      </c>
      <c r="P132" s="215">
        <v>0</v>
      </c>
      <c r="Q132" s="216"/>
      <c r="R132" s="83"/>
      <c r="S132" s="90">
        <v>13033.4</v>
      </c>
      <c r="T132" s="67"/>
      <c r="U132" s="67"/>
      <c r="V132" s="67"/>
      <c r="W132" s="92">
        <f t="shared" si="15"/>
        <v>13033.400000000001</v>
      </c>
      <c r="X132" s="92">
        <f t="shared" si="16"/>
        <v>1529.9</v>
      </c>
      <c r="Y132" s="92">
        <f t="shared" si="14"/>
        <v>11503.500000000002</v>
      </c>
      <c r="Z132" s="67"/>
      <c r="AA132" s="67"/>
    </row>
    <row r="133" spans="1:27" ht="218.25" customHeight="1" x14ac:dyDescent="0.25">
      <c r="A133" s="220"/>
      <c r="B133" s="216"/>
      <c r="C133" s="221"/>
      <c r="D133" s="222"/>
      <c r="E133" s="218"/>
      <c r="F133" s="218"/>
      <c r="G133" s="217"/>
      <c r="H133" s="218"/>
      <c r="I133" s="215"/>
      <c r="J133" s="215"/>
      <c r="K133" s="215"/>
      <c r="L133" s="215"/>
      <c r="M133" s="215"/>
      <c r="N133" s="215"/>
      <c r="O133" s="215"/>
      <c r="P133" s="215"/>
      <c r="Q133" s="216"/>
      <c r="R133" s="83"/>
      <c r="S133" s="90"/>
      <c r="T133" s="67"/>
      <c r="U133" s="67"/>
      <c r="V133" s="67"/>
      <c r="W133" s="92">
        <f t="shared" si="15"/>
        <v>0</v>
      </c>
      <c r="X133" s="92">
        <f t="shared" si="16"/>
        <v>0</v>
      </c>
      <c r="Y133" s="92">
        <f t="shared" si="14"/>
        <v>0</v>
      </c>
      <c r="Z133" s="67"/>
      <c r="AA133" s="67"/>
    </row>
    <row r="134" spans="1:27" ht="18.75" hidden="1" x14ac:dyDescent="0.25">
      <c r="A134" s="220"/>
      <c r="B134" s="216"/>
      <c r="C134" s="221"/>
      <c r="D134" s="222"/>
      <c r="E134" s="218"/>
      <c r="F134" s="218"/>
      <c r="G134" s="217"/>
      <c r="H134" s="218"/>
      <c r="I134" s="215"/>
      <c r="J134" s="215"/>
      <c r="K134" s="215"/>
      <c r="L134" s="215"/>
      <c r="M134" s="215"/>
      <c r="N134" s="215"/>
      <c r="O134" s="215"/>
      <c r="P134" s="215"/>
      <c r="Q134" s="216"/>
      <c r="R134" s="83"/>
      <c r="S134" s="90"/>
      <c r="T134" s="67"/>
      <c r="U134" s="67"/>
      <c r="V134" s="67"/>
      <c r="W134" s="92">
        <f t="shared" si="15"/>
        <v>0</v>
      </c>
      <c r="X134" s="92">
        <f t="shared" si="16"/>
        <v>0</v>
      </c>
      <c r="Y134" s="92">
        <f t="shared" si="14"/>
        <v>0</v>
      </c>
      <c r="Z134" s="67"/>
      <c r="AA134" s="67"/>
    </row>
    <row r="135" spans="1:27" ht="159" customHeight="1" x14ac:dyDescent="0.25">
      <c r="A135" s="173"/>
      <c r="B135" s="172" t="s">
        <v>292</v>
      </c>
      <c r="C135" s="170" t="s">
        <v>25</v>
      </c>
      <c r="D135" s="172" t="s">
        <v>531</v>
      </c>
      <c r="E135" s="169" t="s">
        <v>25</v>
      </c>
      <c r="F135" s="168">
        <v>44196</v>
      </c>
      <c r="G135" s="169" t="s">
        <v>25</v>
      </c>
      <c r="H135" s="168"/>
      <c r="I135" s="171" t="s">
        <v>25</v>
      </c>
      <c r="J135" s="171" t="s">
        <v>25</v>
      </c>
      <c r="K135" s="171" t="s">
        <v>25</v>
      </c>
      <c r="L135" s="171" t="s">
        <v>25</v>
      </c>
      <c r="M135" s="171" t="s">
        <v>25</v>
      </c>
      <c r="N135" s="171" t="s">
        <v>25</v>
      </c>
      <c r="O135" s="171" t="s">
        <v>25</v>
      </c>
      <c r="P135" s="171" t="s">
        <v>25</v>
      </c>
      <c r="Q135" s="171"/>
      <c r="R135" s="83"/>
      <c r="S135" s="90"/>
      <c r="T135" s="67"/>
      <c r="U135" s="67"/>
      <c r="V135" s="67"/>
      <c r="W135" s="92"/>
      <c r="X135" s="92"/>
      <c r="Y135" s="92"/>
      <c r="Z135" s="67"/>
      <c r="AA135" s="67"/>
    </row>
    <row r="136" spans="1:27" ht="250.5" customHeight="1" x14ac:dyDescent="0.25">
      <c r="A136" s="101"/>
      <c r="B136" s="91" t="s">
        <v>293</v>
      </c>
      <c r="C136" s="170" t="s">
        <v>25</v>
      </c>
      <c r="D136" s="91" t="s">
        <v>532</v>
      </c>
      <c r="E136" s="169" t="s">
        <v>25</v>
      </c>
      <c r="F136" s="168">
        <v>44196</v>
      </c>
      <c r="G136" s="169" t="s">
        <v>25</v>
      </c>
      <c r="H136" s="168"/>
      <c r="I136" s="171" t="s">
        <v>25</v>
      </c>
      <c r="J136" s="171" t="s">
        <v>25</v>
      </c>
      <c r="K136" s="171" t="s">
        <v>25</v>
      </c>
      <c r="L136" s="171" t="s">
        <v>25</v>
      </c>
      <c r="M136" s="171" t="s">
        <v>25</v>
      </c>
      <c r="N136" s="171" t="s">
        <v>25</v>
      </c>
      <c r="O136" s="171" t="s">
        <v>25</v>
      </c>
      <c r="P136" s="171" t="s">
        <v>25</v>
      </c>
      <c r="Q136" s="171"/>
      <c r="R136" s="83"/>
      <c r="S136" s="90"/>
      <c r="T136" s="67"/>
      <c r="U136" s="67"/>
      <c r="V136" s="67"/>
      <c r="W136" s="92"/>
      <c r="X136" s="92"/>
      <c r="Y136" s="92"/>
      <c r="Z136" s="67"/>
      <c r="AA136" s="67"/>
    </row>
    <row r="137" spans="1:27" ht="175.5" customHeight="1" x14ac:dyDescent="0.25">
      <c r="A137" s="101"/>
      <c r="B137" s="91"/>
      <c r="C137" s="170"/>
      <c r="D137" s="91" t="s">
        <v>533</v>
      </c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83"/>
      <c r="S137" s="90"/>
      <c r="T137" s="67"/>
      <c r="U137" s="67"/>
      <c r="V137" s="67"/>
      <c r="W137" s="92">
        <f>I137+K137+M137+O137</f>
        <v>0</v>
      </c>
      <c r="X137" s="92">
        <f>J137+L137+N137+P137</f>
        <v>0</v>
      </c>
      <c r="Y137" s="92">
        <f t="shared" si="14"/>
        <v>0</v>
      </c>
      <c r="Z137" s="67"/>
      <c r="AA137" s="67"/>
    </row>
    <row r="138" spans="1:27" ht="20.25" x14ac:dyDescent="0.3">
      <c r="A138" s="102"/>
      <c r="B138" s="213" t="s">
        <v>294</v>
      </c>
      <c r="C138" s="213"/>
      <c r="D138" s="213"/>
      <c r="E138" s="213"/>
      <c r="F138" s="213"/>
      <c r="G138" s="213"/>
      <c r="H138" s="213"/>
      <c r="I138" s="138">
        <f>I10+I12+I63+I90</f>
        <v>11855805</v>
      </c>
      <c r="J138" s="138">
        <f t="shared" ref="J138:P138" si="17">J12+J63+J90+J11</f>
        <v>11966162.500000002</v>
      </c>
      <c r="K138" s="138">
        <f t="shared" si="17"/>
        <v>12374163.100000001</v>
      </c>
      <c r="L138" s="138">
        <f t="shared" si="17"/>
        <v>13703683.200000001</v>
      </c>
      <c r="M138" s="138">
        <f t="shared" si="17"/>
        <v>14510427.199999999</v>
      </c>
      <c r="N138" s="138">
        <f t="shared" si="17"/>
        <v>0</v>
      </c>
      <c r="O138" s="138">
        <f t="shared" si="17"/>
        <v>19611123.600000001</v>
      </c>
      <c r="P138" s="138">
        <f t="shared" si="17"/>
        <v>0</v>
      </c>
      <c r="Q138" s="172"/>
      <c r="R138" s="83"/>
      <c r="S138" s="90"/>
      <c r="T138" s="67"/>
      <c r="U138" s="67"/>
      <c r="V138" s="67"/>
      <c r="W138" s="92">
        <f>I138+K138+M138+O138</f>
        <v>58351518.899999999</v>
      </c>
      <c r="X138" s="92">
        <f>X90+X63+X12+X11</f>
        <v>25669845.700000003</v>
      </c>
      <c r="Y138" s="92">
        <f t="shared" si="14"/>
        <v>32681673.199999996</v>
      </c>
      <c r="Z138" s="67"/>
      <c r="AA138" s="67"/>
    </row>
    <row r="139" spans="1:27" ht="111" customHeight="1" x14ac:dyDescent="0.25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83"/>
      <c r="S139" s="84"/>
      <c r="T139" s="67"/>
      <c r="U139" s="67"/>
      <c r="V139" s="67"/>
      <c r="W139" s="77"/>
      <c r="X139" s="77"/>
      <c r="Y139" s="77"/>
      <c r="Z139" s="67"/>
      <c r="AA139" s="67"/>
    </row>
    <row r="140" spans="1:27" ht="23.25" x14ac:dyDescent="0.35">
      <c r="A140" s="214" t="s">
        <v>543</v>
      </c>
      <c r="B140" s="214"/>
      <c r="C140" s="214"/>
      <c r="D140" s="214"/>
      <c r="E140" s="103"/>
      <c r="F140" s="103"/>
      <c r="G140" s="103"/>
      <c r="H140" s="103"/>
      <c r="I140" s="104"/>
      <c r="J140" s="104"/>
      <c r="K140" s="104"/>
      <c r="L140" s="104"/>
      <c r="M140" s="104"/>
      <c r="N140" s="104"/>
      <c r="O140" s="104"/>
      <c r="P140" s="104"/>
      <c r="Q140" s="99"/>
      <c r="R140" s="83"/>
      <c r="S140" s="84"/>
      <c r="T140" s="67"/>
      <c r="U140" s="67"/>
      <c r="V140" s="67"/>
      <c r="W140" s="77"/>
      <c r="X140" s="77"/>
      <c r="Y140" s="77"/>
      <c r="Z140" s="67"/>
      <c r="AA140" s="67"/>
    </row>
    <row r="141" spans="1:27" ht="27.75" x14ac:dyDescent="0.4">
      <c r="A141" s="214"/>
      <c r="B141" s="214"/>
      <c r="C141" s="214"/>
      <c r="D141" s="214"/>
      <c r="E141" s="79"/>
      <c r="F141" s="79"/>
      <c r="G141" s="79"/>
      <c r="H141" s="79"/>
      <c r="I141" s="105"/>
      <c r="J141" s="105"/>
      <c r="K141" s="105"/>
      <c r="L141" s="105"/>
      <c r="M141" s="105"/>
      <c r="N141" s="105"/>
      <c r="O141" s="105"/>
      <c r="P141" s="105"/>
      <c r="Q141" s="106" t="s">
        <v>300</v>
      </c>
      <c r="R141" s="107"/>
      <c r="S141" s="108"/>
      <c r="T141" s="109"/>
      <c r="U141" s="67"/>
      <c r="V141" s="67"/>
      <c r="W141" s="77"/>
      <c r="X141" s="92"/>
      <c r="Y141" s="77"/>
      <c r="Z141" s="67"/>
      <c r="AA141" s="67"/>
    </row>
    <row r="142" spans="1:27" ht="26.25" x14ac:dyDescent="0.4">
      <c r="A142" s="79"/>
      <c r="B142" s="79"/>
      <c r="C142" s="79"/>
      <c r="D142" s="79"/>
      <c r="E142" s="79"/>
      <c r="F142" s="79"/>
      <c r="G142" s="79"/>
      <c r="H142" s="79"/>
      <c r="I142" s="105"/>
      <c r="J142" s="105"/>
      <c r="K142" s="105"/>
      <c r="L142" s="105"/>
      <c r="M142" s="105"/>
      <c r="N142" s="105"/>
      <c r="O142" s="105"/>
      <c r="P142" s="105"/>
      <c r="Q142" s="110"/>
      <c r="R142" s="107"/>
      <c r="S142" s="108"/>
      <c r="T142" s="109"/>
      <c r="U142" s="67"/>
      <c r="V142" s="67"/>
      <c r="W142" s="77"/>
      <c r="X142" s="77"/>
      <c r="Y142" s="77"/>
      <c r="Z142" s="67"/>
      <c r="AA142" s="67"/>
    </row>
    <row r="143" spans="1:27" ht="18.75" x14ac:dyDescent="0.3">
      <c r="A143" s="136"/>
      <c r="B143" s="111"/>
      <c r="C143" s="89"/>
      <c r="D143" s="111"/>
      <c r="E143" s="89"/>
      <c r="F143" s="89"/>
      <c r="G143" s="89"/>
      <c r="H143" s="89"/>
      <c r="I143" s="105"/>
      <c r="J143" s="105"/>
      <c r="K143" s="105"/>
      <c r="L143" s="105"/>
      <c r="M143" s="105"/>
      <c r="N143" s="105"/>
      <c r="O143" s="105"/>
      <c r="P143" s="105"/>
      <c r="Q143" s="99"/>
      <c r="R143" s="83"/>
      <c r="S143" s="84"/>
      <c r="T143" s="67"/>
      <c r="U143" s="67"/>
      <c r="V143" s="67"/>
      <c r="W143" s="77"/>
      <c r="X143" s="77"/>
      <c r="Y143" s="77"/>
      <c r="Z143" s="67"/>
      <c r="AA143" s="67"/>
    </row>
    <row r="150" spans="1:2" x14ac:dyDescent="0.25">
      <c r="A150" s="212" t="s">
        <v>454</v>
      </c>
      <c r="B150" s="212"/>
    </row>
    <row r="151" spans="1:2" x14ac:dyDescent="0.25">
      <c r="A151" s="212"/>
      <c r="B151" s="212"/>
    </row>
    <row r="152" spans="1:2" x14ac:dyDescent="0.25">
      <c r="A152" s="212"/>
      <c r="B152" s="212"/>
    </row>
    <row r="153" spans="1:2" x14ac:dyDescent="0.25">
      <c r="A153" s="212"/>
      <c r="B153" s="212"/>
    </row>
    <row r="166" ht="15" customHeight="1" x14ac:dyDescent="0.25"/>
    <row r="167" ht="15" customHeight="1" x14ac:dyDescent="0.25"/>
  </sheetData>
  <protectedRanges>
    <protectedRange sqref="N1:N9 N11 N91:N96 N128:N143 N13:N62 N64:N89 N127 N98:N126" name="Диапазон1"/>
  </protectedRanges>
  <autoFilter ref="A9:Q9"/>
  <mergeCells count="416">
    <mergeCell ref="P33:P34"/>
    <mergeCell ref="Q33:Q34"/>
    <mergeCell ref="L33:L34"/>
    <mergeCell ref="K33:K34"/>
    <mergeCell ref="J33:J34"/>
    <mergeCell ref="I33:I34"/>
    <mergeCell ref="D33:D34"/>
    <mergeCell ref="C33:C34"/>
    <mergeCell ref="A33:A34"/>
    <mergeCell ref="B33:B34"/>
    <mergeCell ref="E24:E25"/>
    <mergeCell ref="F24:F25"/>
    <mergeCell ref="G24:G25"/>
    <mergeCell ref="H24:H25"/>
    <mergeCell ref="F22:F23"/>
    <mergeCell ref="G22:G23"/>
    <mergeCell ref="H22:H23"/>
    <mergeCell ref="Q6:Q8"/>
    <mergeCell ref="I7:J7"/>
    <mergeCell ref="K7:L7"/>
    <mergeCell ref="M7:N7"/>
    <mergeCell ref="O7:P7"/>
    <mergeCell ref="J1:K1"/>
    <mergeCell ref="I2:L2"/>
    <mergeCell ref="H3:M3"/>
    <mergeCell ref="J4:K4"/>
    <mergeCell ref="P26:P27"/>
    <mergeCell ref="Q26:Q27"/>
    <mergeCell ref="H26:H27"/>
    <mergeCell ref="I26:I27"/>
    <mergeCell ref="J26:J27"/>
    <mergeCell ref="K26:K27"/>
    <mergeCell ref="L26:L27"/>
    <mergeCell ref="M26:M27"/>
    <mergeCell ref="A6:A8"/>
    <mergeCell ref="B6:B8"/>
    <mergeCell ref="D6:D8"/>
    <mergeCell ref="E6:E8"/>
    <mergeCell ref="F6:F8"/>
    <mergeCell ref="G6:G8"/>
    <mergeCell ref="H6:H8"/>
    <mergeCell ref="I6:P6"/>
    <mergeCell ref="O22:O23"/>
    <mergeCell ref="P22:P23"/>
    <mergeCell ref="B12:H12"/>
    <mergeCell ref="A22:A23"/>
    <mergeCell ref="B22:B23"/>
    <mergeCell ref="C22:C23"/>
    <mergeCell ref="D22:D23"/>
    <mergeCell ref="E22:E23"/>
    <mergeCell ref="A39:A40"/>
    <mergeCell ref="B39:B40"/>
    <mergeCell ref="C39:C40"/>
    <mergeCell ref="D39:D40"/>
    <mergeCell ref="E39:E40"/>
    <mergeCell ref="L39:L40"/>
    <mergeCell ref="M39:M40"/>
    <mergeCell ref="N39:N40"/>
    <mergeCell ref="Q22:Q23"/>
    <mergeCell ref="A26:A27"/>
    <mergeCell ref="B26:B27"/>
    <mergeCell ref="C26:C27"/>
    <mergeCell ref="D26:D27"/>
    <mergeCell ref="E26:E27"/>
    <mergeCell ref="F26:F27"/>
    <mergeCell ref="G26:G27"/>
    <mergeCell ref="I22:I23"/>
    <mergeCell ref="J22:J23"/>
    <mergeCell ref="K22:K23"/>
    <mergeCell ref="L22:L23"/>
    <mergeCell ref="M22:M23"/>
    <mergeCell ref="N22:N23"/>
    <mergeCell ref="N26:N27"/>
    <mergeCell ref="O26:O27"/>
    <mergeCell ref="Q31:Q32"/>
    <mergeCell ref="G31:G32"/>
    <mergeCell ref="H31:H32"/>
    <mergeCell ref="I31:I32"/>
    <mergeCell ref="J31:J32"/>
    <mergeCell ref="K31:K32"/>
    <mergeCell ref="M33:M34"/>
    <mergeCell ref="A31:A32"/>
    <mergeCell ref="B31:B32"/>
    <mergeCell ref="C31:C32"/>
    <mergeCell ref="D31:D32"/>
    <mergeCell ref="E31:E32"/>
    <mergeCell ref="O31:O32"/>
    <mergeCell ref="P31:P32"/>
    <mergeCell ref="L31:L32"/>
    <mergeCell ref="M31:M32"/>
    <mergeCell ref="N31:N32"/>
    <mergeCell ref="E33:E34"/>
    <mergeCell ref="F33:F34"/>
    <mergeCell ref="G33:G34"/>
    <mergeCell ref="H33:H34"/>
    <mergeCell ref="N33:N34"/>
    <mergeCell ref="O33:O34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M41:M42"/>
    <mergeCell ref="N41:N42"/>
    <mergeCell ref="O41:O42"/>
    <mergeCell ref="P41:P42"/>
    <mergeCell ref="Q41:Q42"/>
    <mergeCell ref="A43:A44"/>
    <mergeCell ref="B43:B44"/>
    <mergeCell ref="C43:C44"/>
    <mergeCell ref="D43:D44"/>
    <mergeCell ref="E43:E44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Q43:Q44"/>
    <mergeCell ref="M43:M44"/>
    <mergeCell ref="O43:O44"/>
    <mergeCell ref="P43:P44"/>
    <mergeCell ref="F43:F44"/>
    <mergeCell ref="G43:G44"/>
    <mergeCell ref="H43:H44"/>
    <mergeCell ref="I43:I44"/>
    <mergeCell ref="J43:J44"/>
    <mergeCell ref="N47:N48"/>
    <mergeCell ref="O47:O48"/>
    <mergeCell ref="P47:P48"/>
    <mergeCell ref="F47:F48"/>
    <mergeCell ref="G47:G48"/>
    <mergeCell ref="K43:K44"/>
    <mergeCell ref="L43:L44"/>
    <mergeCell ref="Q47:Q48"/>
    <mergeCell ref="A49:A50"/>
    <mergeCell ref="B49:B50"/>
    <mergeCell ref="C49:C50"/>
    <mergeCell ref="D49:D50"/>
    <mergeCell ref="E49:E50"/>
    <mergeCell ref="F49:F50"/>
    <mergeCell ref="H47:H48"/>
    <mergeCell ref="I47:I48"/>
    <mergeCell ref="J47:J48"/>
    <mergeCell ref="K47:K48"/>
    <mergeCell ref="L47:L48"/>
    <mergeCell ref="M47:M48"/>
    <mergeCell ref="Q49:Q50"/>
    <mergeCell ref="N49:N50"/>
    <mergeCell ref="O49:O50"/>
    <mergeCell ref="P49:P50"/>
    <mergeCell ref="A47:A48"/>
    <mergeCell ref="B47:B48"/>
    <mergeCell ref="C47:C48"/>
    <mergeCell ref="D47:D48"/>
    <mergeCell ref="E47:E48"/>
    <mergeCell ref="A51:A52"/>
    <mergeCell ref="B51:B52"/>
    <mergeCell ref="C51:C52"/>
    <mergeCell ref="D51:D52"/>
    <mergeCell ref="E51:E52"/>
    <mergeCell ref="F51:F52"/>
    <mergeCell ref="G51:G52"/>
    <mergeCell ref="L49:L50"/>
    <mergeCell ref="M49:M50"/>
    <mergeCell ref="G49:G50"/>
    <mergeCell ref="H49:H50"/>
    <mergeCell ref="I49:I50"/>
    <mergeCell ref="J49:J50"/>
    <mergeCell ref="K49:K50"/>
    <mergeCell ref="N51:N52"/>
    <mergeCell ref="O51:O52"/>
    <mergeCell ref="P51:P52"/>
    <mergeCell ref="Q51:Q52"/>
    <mergeCell ref="H51:H52"/>
    <mergeCell ref="I51:I52"/>
    <mergeCell ref="J51:J52"/>
    <mergeCell ref="K51:K52"/>
    <mergeCell ref="L51:L52"/>
    <mergeCell ref="M51:M52"/>
    <mergeCell ref="P56:P57"/>
    <mergeCell ref="Q56:Q57"/>
    <mergeCell ref="K56:K57"/>
    <mergeCell ref="L56:L57"/>
    <mergeCell ref="M56:M57"/>
    <mergeCell ref="A58:A59"/>
    <mergeCell ref="B58:B59"/>
    <mergeCell ref="C58:C59"/>
    <mergeCell ref="D58:D59"/>
    <mergeCell ref="E58:E59"/>
    <mergeCell ref="F58:F59"/>
    <mergeCell ref="H56:H57"/>
    <mergeCell ref="I56:I57"/>
    <mergeCell ref="J56:J57"/>
    <mergeCell ref="M58:M59"/>
    <mergeCell ref="N58:N59"/>
    <mergeCell ref="O58:O59"/>
    <mergeCell ref="P58:P59"/>
    <mergeCell ref="Q58:Q59"/>
    <mergeCell ref="G56:G57"/>
    <mergeCell ref="A56:A57"/>
    <mergeCell ref="B56:B57"/>
    <mergeCell ref="C56:C57"/>
    <mergeCell ref="D56:D57"/>
    <mergeCell ref="B63:H63"/>
    <mergeCell ref="G58:G59"/>
    <mergeCell ref="H58:H59"/>
    <mergeCell ref="I58:I59"/>
    <mergeCell ref="J58:J59"/>
    <mergeCell ref="K58:K59"/>
    <mergeCell ref="L58:L59"/>
    <mergeCell ref="N56:N57"/>
    <mergeCell ref="O56:O57"/>
    <mergeCell ref="E56:E57"/>
    <mergeCell ref="F56:F57"/>
    <mergeCell ref="A73:A74"/>
    <mergeCell ref="B73:B74"/>
    <mergeCell ref="C73:C74"/>
    <mergeCell ref="D73:D74"/>
    <mergeCell ref="E73:E74"/>
    <mergeCell ref="L73:L74"/>
    <mergeCell ref="M73:M74"/>
    <mergeCell ref="N73:N74"/>
    <mergeCell ref="O73:O74"/>
    <mergeCell ref="P73:P74"/>
    <mergeCell ref="Q73:Q74"/>
    <mergeCell ref="F73:F74"/>
    <mergeCell ref="G73:G74"/>
    <mergeCell ref="H73:H74"/>
    <mergeCell ref="I73:I74"/>
    <mergeCell ref="J73:J74"/>
    <mergeCell ref="K73:K74"/>
    <mergeCell ref="M79:M80"/>
    <mergeCell ref="N79:N80"/>
    <mergeCell ref="O79:O80"/>
    <mergeCell ref="P79:P80"/>
    <mergeCell ref="Q79:Q80"/>
    <mergeCell ref="K79:K80"/>
    <mergeCell ref="L79:L80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F79:F80"/>
    <mergeCell ref="N100:N101"/>
    <mergeCell ref="B90:H90"/>
    <mergeCell ref="A94:A95"/>
    <mergeCell ref="B94:B95"/>
    <mergeCell ref="C94:C95"/>
    <mergeCell ref="D94:D95"/>
    <mergeCell ref="E94:E95"/>
    <mergeCell ref="F94:F95"/>
    <mergeCell ref="G94:G95"/>
    <mergeCell ref="H94:H95"/>
    <mergeCell ref="I100:I101"/>
    <mergeCell ref="J100:J101"/>
    <mergeCell ref="O94:O95"/>
    <mergeCell ref="N105:N106"/>
    <mergeCell ref="O105:O106"/>
    <mergeCell ref="P94:P95"/>
    <mergeCell ref="Q94:Q95"/>
    <mergeCell ref="B100:B101"/>
    <mergeCell ref="C100:C101"/>
    <mergeCell ref="D100:D101"/>
    <mergeCell ref="E100:E101"/>
    <mergeCell ref="F100:F101"/>
    <mergeCell ref="G100:G101"/>
    <mergeCell ref="H100:H101"/>
    <mergeCell ref="I94:I95"/>
    <mergeCell ref="J94:J95"/>
    <mergeCell ref="K94:K95"/>
    <mergeCell ref="L94:L95"/>
    <mergeCell ref="M94:M95"/>
    <mergeCell ref="N94:N95"/>
    <mergeCell ref="O100:O101"/>
    <mergeCell ref="P100:P101"/>
    <mergeCell ref="Q100:Q101"/>
    <mergeCell ref="K100:K101"/>
    <mergeCell ref="L100:L101"/>
    <mergeCell ref="M100:M101"/>
    <mergeCell ref="A109:A110"/>
    <mergeCell ref="B109:B110"/>
    <mergeCell ref="C109:C110"/>
    <mergeCell ref="D109:D110"/>
    <mergeCell ref="E109:E110"/>
    <mergeCell ref="P105:P106"/>
    <mergeCell ref="Q105:Q106"/>
    <mergeCell ref="H105:H106"/>
    <mergeCell ref="I105:I106"/>
    <mergeCell ref="J105:J106"/>
    <mergeCell ref="K105:K106"/>
    <mergeCell ref="L105:L106"/>
    <mergeCell ref="M105:M106"/>
    <mergeCell ref="A105:A106"/>
    <mergeCell ref="B105:B106"/>
    <mergeCell ref="C105:C106"/>
    <mergeCell ref="D105:D106"/>
    <mergeCell ref="E105:E106"/>
    <mergeCell ref="F105:F106"/>
    <mergeCell ref="G105:G106"/>
    <mergeCell ref="L109:L110"/>
    <mergeCell ref="M109:M110"/>
    <mergeCell ref="N109:N110"/>
    <mergeCell ref="O109:O110"/>
    <mergeCell ref="P109:P110"/>
    <mergeCell ref="Q109:Q110"/>
    <mergeCell ref="F109:F110"/>
    <mergeCell ref="G109:G110"/>
    <mergeCell ref="H109:H110"/>
    <mergeCell ref="I109:I110"/>
    <mergeCell ref="J109:J110"/>
    <mergeCell ref="K109:K110"/>
    <mergeCell ref="M119:M120"/>
    <mergeCell ref="N119:N120"/>
    <mergeCell ref="O119:O120"/>
    <mergeCell ref="P119:P120"/>
    <mergeCell ref="Q119:Q120"/>
    <mergeCell ref="K119:K120"/>
    <mergeCell ref="L119:L120"/>
    <mergeCell ref="A123:A124"/>
    <mergeCell ref="B123:B124"/>
    <mergeCell ref="C123:C124"/>
    <mergeCell ref="D123:D124"/>
    <mergeCell ref="E123:E124"/>
    <mergeCell ref="G119:G120"/>
    <mergeCell ref="H119:H120"/>
    <mergeCell ref="I119:I120"/>
    <mergeCell ref="J119:J120"/>
    <mergeCell ref="A119:A120"/>
    <mergeCell ref="B119:B120"/>
    <mergeCell ref="C119:C120"/>
    <mergeCell ref="D119:D120"/>
    <mergeCell ref="E119:E120"/>
    <mergeCell ref="F119:F120"/>
    <mergeCell ref="L123:L124"/>
    <mergeCell ref="M123:M124"/>
    <mergeCell ref="N123:N124"/>
    <mergeCell ref="O123:O124"/>
    <mergeCell ref="P123:P124"/>
    <mergeCell ref="Q123:Q124"/>
    <mergeCell ref="F123:F124"/>
    <mergeCell ref="G123:G124"/>
    <mergeCell ref="H123:H124"/>
    <mergeCell ref="I123:I124"/>
    <mergeCell ref="J123:J124"/>
    <mergeCell ref="K123:K124"/>
    <mergeCell ref="A128:A129"/>
    <mergeCell ref="B128:B129"/>
    <mergeCell ref="C128:C129"/>
    <mergeCell ref="D128:D129"/>
    <mergeCell ref="E128:E129"/>
    <mergeCell ref="L128:L129"/>
    <mergeCell ref="M128:M129"/>
    <mergeCell ref="N128:N129"/>
    <mergeCell ref="O128:O129"/>
    <mergeCell ref="P128:P129"/>
    <mergeCell ref="Q128:Q129"/>
    <mergeCell ref="F128:F129"/>
    <mergeCell ref="G128:G129"/>
    <mergeCell ref="H128:H129"/>
    <mergeCell ref="I128:I129"/>
    <mergeCell ref="J128:J129"/>
    <mergeCell ref="K128:K129"/>
    <mergeCell ref="M130:M131"/>
    <mergeCell ref="N130:N131"/>
    <mergeCell ref="O130:O131"/>
    <mergeCell ref="P130:P131"/>
    <mergeCell ref="Q130:Q131"/>
    <mergeCell ref="A132:A134"/>
    <mergeCell ref="B132:B134"/>
    <mergeCell ref="C132:C134"/>
    <mergeCell ref="D132:D134"/>
    <mergeCell ref="E132:E134"/>
    <mergeCell ref="G130:G131"/>
    <mergeCell ref="H130:H131"/>
    <mergeCell ref="I130:I131"/>
    <mergeCell ref="J130:J131"/>
    <mergeCell ref="K130:K131"/>
    <mergeCell ref="L130:L131"/>
    <mergeCell ref="A130:A131"/>
    <mergeCell ref="B130:B131"/>
    <mergeCell ref="C130:C131"/>
    <mergeCell ref="D130:D131"/>
    <mergeCell ref="E130:E131"/>
    <mergeCell ref="F130:F131"/>
    <mergeCell ref="A150:B153"/>
    <mergeCell ref="B138:H138"/>
    <mergeCell ref="A140:D141"/>
    <mergeCell ref="L132:L134"/>
    <mergeCell ref="M132:M134"/>
    <mergeCell ref="N132:N134"/>
    <mergeCell ref="O132:O134"/>
    <mergeCell ref="P132:P134"/>
    <mergeCell ref="Q132:Q134"/>
    <mergeCell ref="F132:F134"/>
    <mergeCell ref="G132:G134"/>
    <mergeCell ref="H132:H134"/>
    <mergeCell ref="I132:I134"/>
    <mergeCell ref="J132:J134"/>
    <mergeCell ref="K132:K134"/>
    <mergeCell ref="A139:Q139"/>
  </mergeCells>
  <hyperlinks>
    <hyperlink ref="C6" r:id="rId1" display="consultantplus://offline/ref=296E051552D9B0DE54C4EEA366783458DCF3E2F270B1C5BE0EE0B1036681A6753D4434517D8E791EF555ABSAVCG"/>
  </hyperlinks>
  <pageMargins left="0.70866141732283472" right="0.70866141732283472" top="0.74803149606299213" bottom="0.74803149606299213" header="0.31496062992125984" footer="0.31496062992125984"/>
  <pageSetup paperSize="9" scale="32" orientation="landscape" r:id="rId2"/>
  <rowBreaks count="10" manualBreakCount="10">
    <brk id="17" max="16" man="1"/>
    <brk id="23" max="16" man="1"/>
    <brk id="29" max="16" man="1"/>
    <brk id="34" max="16" man="1"/>
    <brk id="42" max="16" man="1"/>
    <brk id="48" max="16" man="1"/>
    <brk id="89" max="16" man="1"/>
    <brk id="99" max="16" man="1"/>
    <brk id="122" max="16" man="1"/>
    <brk id="131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Финансирование</vt:lpstr>
      <vt:lpstr>Показатели, Критерии</vt:lpstr>
      <vt:lpstr>План реализации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2020-07-17T14:30:54Z</dcterms:modified>
</cp:coreProperties>
</file>