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40" windowWidth="20730" windowHeight="10950" activeTab="1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реализации'!$A$10:$AE$128</definedName>
    <definedName name="_xlnm._FilterDatabase" localSheetId="0" hidden="1">Финансирование!$A$11:$AH$80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Финансирование!$8:$11</definedName>
    <definedName name="_xlnm.Print_Area" localSheetId="2">'План реализации'!$A$1:$Q$129</definedName>
    <definedName name="_xlnm.Print_Area" localSheetId="1">'Показатели, критерии'!$A$1:$G$70</definedName>
    <definedName name="_xlnm.Print_Area" localSheetId="0">Финансирование!$A$1:$AA$96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L73" i="3" l="1"/>
  <c r="M73" i="3"/>
  <c r="O74" i="3" l="1"/>
  <c r="R41" i="3"/>
  <c r="R40" i="3"/>
  <c r="R39" i="3"/>
  <c r="N37" i="3"/>
  <c r="N84" i="3" l="1"/>
  <c r="AC15" i="1" l="1"/>
  <c r="Q13" i="1" l="1"/>
  <c r="R13" i="1"/>
  <c r="S13" i="1"/>
  <c r="T13" i="1"/>
  <c r="L58" i="3"/>
  <c r="N58" i="3" s="1"/>
  <c r="L67" i="3" l="1"/>
  <c r="N67" i="3" s="1"/>
  <c r="N13" i="1"/>
  <c r="P13" i="1"/>
  <c r="O13" i="1"/>
  <c r="L33" i="3"/>
  <c r="N33" i="3" s="1"/>
  <c r="L27" i="3"/>
  <c r="N27" i="3" s="1"/>
  <c r="L79" i="3" l="1"/>
  <c r="N79" i="3" s="1"/>
  <c r="N104" i="3" s="1"/>
  <c r="L49" i="3"/>
  <c r="N49" i="3" s="1"/>
  <c r="L47" i="3"/>
  <c r="N47" i="3" s="1"/>
  <c r="L46" i="3"/>
  <c r="N46" i="3" s="1"/>
  <c r="L45" i="3"/>
  <c r="N45" i="3" s="1"/>
  <c r="L42" i="3"/>
  <c r="N42" i="3" s="1"/>
  <c r="L30" i="3"/>
  <c r="N30" i="3" s="1"/>
  <c r="L19" i="3"/>
  <c r="N19" i="3" s="1"/>
  <c r="L18" i="3"/>
  <c r="N18" i="3" s="1"/>
  <c r="L12" i="3"/>
  <c r="N12" i="3" s="1"/>
  <c r="P47" i="1" l="1"/>
  <c r="AD61" i="1" l="1"/>
  <c r="AD60" i="1"/>
  <c r="AD59" i="1"/>
  <c r="AD58" i="1"/>
  <c r="AD32" i="1"/>
  <c r="AD31" i="1"/>
  <c r="K74" i="3" l="1"/>
  <c r="L74" i="3"/>
  <c r="M74" i="3"/>
  <c r="N74" i="3"/>
  <c r="P74" i="3"/>
  <c r="I74" i="3"/>
  <c r="J74" i="3"/>
  <c r="J104" i="3"/>
  <c r="K104" i="3"/>
  <c r="L104" i="3"/>
  <c r="M104" i="3"/>
  <c r="O104" i="3"/>
  <c r="P104" i="3"/>
  <c r="I104" i="3"/>
  <c r="U88" i="3"/>
  <c r="X88" i="3"/>
  <c r="Y88" i="3" s="1"/>
  <c r="U87" i="3"/>
  <c r="X87" i="3"/>
  <c r="Y87" i="3" s="1"/>
  <c r="P59" i="3"/>
  <c r="P75" i="3" s="1"/>
  <c r="O59" i="3"/>
  <c r="O75" i="3" s="1"/>
  <c r="N59" i="3"/>
  <c r="M59" i="3"/>
  <c r="M75" i="3" s="1"/>
  <c r="L59" i="3"/>
  <c r="L75" i="3" s="1"/>
  <c r="K59" i="3"/>
  <c r="K75" i="3" s="1"/>
  <c r="J59" i="3"/>
  <c r="J75" i="3" s="1"/>
  <c r="P55" i="3"/>
  <c r="L55" i="3"/>
  <c r="N55" i="3" s="1"/>
  <c r="N57" i="3" s="1"/>
  <c r="K55" i="3"/>
  <c r="J55" i="3"/>
  <c r="I55" i="3"/>
  <c r="P52" i="3"/>
  <c r="L52" i="3"/>
  <c r="N52" i="3" s="1"/>
  <c r="K52" i="3"/>
  <c r="J52" i="3"/>
  <c r="I52" i="3"/>
  <c r="P49" i="3"/>
  <c r="J49" i="3"/>
  <c r="I49" i="3"/>
  <c r="P36" i="3"/>
  <c r="L36" i="3"/>
  <c r="J36" i="3"/>
  <c r="I36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7" i="3"/>
  <c r="R38" i="3"/>
  <c r="R42" i="3"/>
  <c r="R43" i="3"/>
  <c r="R44" i="3"/>
  <c r="R45" i="3"/>
  <c r="R46" i="3"/>
  <c r="R47" i="3"/>
  <c r="R48" i="3"/>
  <c r="R50" i="3"/>
  <c r="R51" i="3"/>
  <c r="R53" i="3"/>
  <c r="R54" i="3"/>
  <c r="R56" i="3"/>
  <c r="R57" i="3"/>
  <c r="R58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" i="3"/>
  <c r="P73" i="3" l="1"/>
  <c r="O73" i="3"/>
  <c r="R55" i="3"/>
  <c r="R52" i="3"/>
  <c r="R49" i="3"/>
  <c r="K73" i="3"/>
  <c r="J73" i="3"/>
  <c r="R36" i="3"/>
  <c r="I59" i="3"/>
  <c r="I75" i="3" l="1"/>
  <c r="I73" i="3" s="1"/>
  <c r="R73" i="3" s="1"/>
  <c r="R59" i="3"/>
  <c r="R74" i="3"/>
  <c r="S47" i="1"/>
  <c r="E13" i="1" l="1"/>
  <c r="F13" i="1"/>
  <c r="G13" i="1"/>
  <c r="H13" i="1"/>
  <c r="I13" i="1"/>
  <c r="J13" i="1"/>
  <c r="K13" i="1"/>
  <c r="L13" i="1"/>
  <c r="M13" i="1"/>
  <c r="T75" i="1"/>
  <c r="S75" i="1"/>
  <c r="R75" i="1"/>
  <c r="Q75" i="1"/>
  <c r="P75" i="1"/>
  <c r="O75" i="1"/>
  <c r="N75" i="1"/>
  <c r="M75" i="1"/>
  <c r="L75" i="1"/>
  <c r="L12" i="1" s="1"/>
  <c r="K75" i="1"/>
  <c r="J75" i="1"/>
  <c r="I75" i="1"/>
  <c r="H75" i="1"/>
  <c r="G75" i="1"/>
  <c r="F75" i="1"/>
  <c r="E75" i="1"/>
  <c r="O12" i="1" l="1"/>
  <c r="F12" i="1"/>
  <c r="G12" i="1"/>
  <c r="N12" i="1"/>
  <c r="H12" i="1"/>
  <c r="M12" i="1"/>
  <c r="I12" i="1"/>
  <c r="Q12" i="1"/>
  <c r="J12" i="1"/>
  <c r="R12" i="1"/>
  <c r="S12" i="1"/>
  <c r="AD15" i="1"/>
  <c r="AD16" i="1"/>
  <c r="AD17" i="1"/>
  <c r="AD18" i="1"/>
  <c r="AD19" i="1"/>
  <c r="AD20" i="1"/>
  <c r="AD23" i="1"/>
  <c r="AD24" i="1"/>
  <c r="AD26" i="1"/>
  <c r="AD27" i="1"/>
  <c r="AD28" i="1"/>
  <c r="AD29" i="1"/>
  <c r="AD30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8" i="1"/>
  <c r="AD49" i="1"/>
  <c r="AD50" i="1"/>
  <c r="AD51" i="1"/>
  <c r="AD52" i="1"/>
  <c r="AD53" i="1"/>
  <c r="AD54" i="1"/>
  <c r="AD55" i="1"/>
  <c r="AD56" i="1"/>
  <c r="AD57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6" i="1"/>
  <c r="AD77" i="1"/>
  <c r="AD78" i="1"/>
  <c r="AD79" i="1"/>
  <c r="AD80" i="1"/>
  <c r="AD14" i="1"/>
  <c r="X79" i="3" l="1"/>
  <c r="Y79" i="3" s="1"/>
  <c r="X11" i="3"/>
  <c r="X12" i="3"/>
  <c r="X13" i="3"/>
  <c r="Y13" i="3" s="1"/>
  <c r="X14" i="3"/>
  <c r="Y14" i="3" s="1"/>
  <c r="X15" i="3"/>
  <c r="Y15" i="3" s="1"/>
  <c r="X16" i="3"/>
  <c r="Y16" i="3" s="1"/>
  <c r="X17" i="3"/>
  <c r="Y17" i="3" s="1"/>
  <c r="X18" i="3"/>
  <c r="X19" i="3"/>
  <c r="X20" i="3"/>
  <c r="Y20" i="3" s="1"/>
  <c r="X21" i="3"/>
  <c r="Y21" i="3" s="1"/>
  <c r="X22" i="3"/>
  <c r="Y22" i="3" s="1"/>
  <c r="X23" i="3"/>
  <c r="Y23" i="3" s="1"/>
  <c r="X24" i="3"/>
  <c r="Y24" i="3" s="1"/>
  <c r="X27" i="3"/>
  <c r="X28" i="3"/>
  <c r="Y28" i="3" s="1"/>
  <c r="X29" i="3"/>
  <c r="Y29" i="3" s="1"/>
  <c r="X30" i="3"/>
  <c r="X31" i="3"/>
  <c r="Y31" i="3" s="1"/>
  <c r="X32" i="3"/>
  <c r="Y32" i="3" s="1"/>
  <c r="X33" i="3"/>
  <c r="X34" i="3"/>
  <c r="Y34" i="3" s="1"/>
  <c r="X35" i="3"/>
  <c r="Y35" i="3" s="1"/>
  <c r="X37" i="3"/>
  <c r="X38" i="3"/>
  <c r="X43" i="3"/>
  <c r="Y43" i="3" s="1"/>
  <c r="X44" i="3"/>
  <c r="Y44" i="3" s="1"/>
  <c r="X45" i="3"/>
  <c r="X46" i="3"/>
  <c r="X47" i="3"/>
  <c r="X48" i="3"/>
  <c r="Y48" i="3" s="1"/>
  <c r="X49" i="3"/>
  <c r="X50" i="3"/>
  <c r="X51" i="3"/>
  <c r="X53" i="3"/>
  <c r="X54" i="3"/>
  <c r="X58" i="3"/>
  <c r="X60" i="3"/>
  <c r="Y60" i="3" s="1"/>
  <c r="X61" i="3"/>
  <c r="Y61" i="3" s="1"/>
  <c r="X62" i="3"/>
  <c r="Y62" i="3" s="1"/>
  <c r="X63" i="3"/>
  <c r="Y63" i="3" s="1"/>
  <c r="X64" i="3"/>
  <c r="Y64" i="3" s="1"/>
  <c r="X65" i="3"/>
  <c r="Y65" i="3" s="1"/>
  <c r="X66" i="3"/>
  <c r="Y66" i="3" s="1"/>
  <c r="X67" i="3"/>
  <c r="X68" i="3"/>
  <c r="Y68" i="3" s="1"/>
  <c r="X69" i="3"/>
  <c r="Y69" i="3" s="1"/>
  <c r="X70" i="3"/>
  <c r="Y70" i="3" s="1"/>
  <c r="X71" i="3"/>
  <c r="Y71" i="3" s="1"/>
  <c r="X72" i="3"/>
  <c r="X76" i="3"/>
  <c r="Y76" i="3" s="1"/>
  <c r="X77" i="3"/>
  <c r="Y77" i="3" s="1"/>
  <c r="X78" i="3"/>
  <c r="Y78" i="3" s="1"/>
  <c r="X80" i="3"/>
  <c r="Y80" i="3" s="1"/>
  <c r="X81" i="3"/>
  <c r="Y81" i="3" s="1"/>
  <c r="X82" i="3"/>
  <c r="Y82" i="3" s="1"/>
  <c r="X83" i="3"/>
  <c r="Y83" i="3" s="1"/>
  <c r="X84" i="3"/>
  <c r="Y84" i="3" s="1"/>
  <c r="X85" i="3"/>
  <c r="Y85" i="3" s="1"/>
  <c r="X86" i="3"/>
  <c r="Y86" i="3" s="1"/>
  <c r="X89" i="3"/>
  <c r="Y89" i="3" s="1"/>
  <c r="X90" i="3"/>
  <c r="Y90" i="3" s="1"/>
  <c r="X91" i="3"/>
  <c r="Y91" i="3" s="1"/>
  <c r="X92" i="3"/>
  <c r="Y92" i="3" s="1"/>
  <c r="X93" i="3"/>
  <c r="Y93" i="3" s="1"/>
  <c r="X94" i="3"/>
  <c r="Y94" i="3" s="1"/>
  <c r="X95" i="3"/>
  <c r="Y95" i="3" s="1"/>
  <c r="X96" i="3"/>
  <c r="Y96" i="3" s="1"/>
  <c r="X97" i="3"/>
  <c r="Y97" i="3" s="1"/>
  <c r="X98" i="3"/>
  <c r="Y98" i="3" s="1"/>
  <c r="X99" i="3"/>
  <c r="Y99" i="3" s="1"/>
  <c r="X100" i="3"/>
  <c r="Y100" i="3" s="1"/>
  <c r="X101" i="3"/>
  <c r="Y101" i="3" s="1"/>
  <c r="X102" i="3"/>
  <c r="Y102" i="3" s="1"/>
  <c r="X103" i="3"/>
  <c r="X106" i="3"/>
  <c r="Y106" i="3" s="1"/>
  <c r="X107" i="3"/>
  <c r="Y107" i="3" s="1"/>
  <c r="X109" i="3"/>
  <c r="X110" i="3"/>
  <c r="X112" i="3"/>
  <c r="X113" i="3"/>
  <c r="X115" i="3"/>
  <c r="X116" i="3"/>
  <c r="X118" i="3"/>
  <c r="X119" i="3"/>
  <c r="X120" i="3"/>
  <c r="Y120" i="3" s="1"/>
  <c r="X42" i="3"/>
  <c r="U42" i="3"/>
  <c r="T42" i="3"/>
  <c r="Y42" i="3" l="1"/>
  <c r="Y109" i="3" l="1"/>
  <c r="Y110" i="3"/>
  <c r="U84" i="3"/>
  <c r="U85" i="3"/>
  <c r="U86" i="3"/>
  <c r="U82" i="3"/>
  <c r="U83" i="3"/>
  <c r="U79" i="3"/>
  <c r="U80" i="3"/>
  <c r="U81" i="3"/>
  <c r="X104" i="3" l="1"/>
  <c r="R75" i="3" l="1"/>
  <c r="V111" i="3" l="1"/>
  <c r="X111" i="3" s="1"/>
  <c r="U66" i="3" l="1"/>
  <c r="U61" i="3"/>
  <c r="U44" i="3"/>
  <c r="Y116" i="3" l="1"/>
  <c r="Y115" i="3"/>
  <c r="V117" i="3"/>
  <c r="V114" i="3"/>
  <c r="V108" i="3"/>
  <c r="Y53" i="3"/>
  <c r="Y51" i="3"/>
  <c r="V59" i="3"/>
  <c r="V52" i="3"/>
  <c r="V36" i="3"/>
  <c r="Y50" i="3" l="1"/>
  <c r="Y12" i="3"/>
  <c r="Y30" i="3"/>
  <c r="Y45" i="3"/>
  <c r="Y18" i="3"/>
  <c r="Y27" i="3"/>
  <c r="Y33" i="3"/>
  <c r="Y38" i="3"/>
  <c r="Y46" i="3"/>
  <c r="Y49" i="3"/>
  <c r="Y67" i="3"/>
  <c r="Y112" i="3"/>
  <c r="Y118" i="3"/>
  <c r="Y19" i="3"/>
  <c r="Y37" i="3"/>
  <c r="Y47" i="3"/>
  <c r="Y58" i="3"/>
  <c r="Y72" i="3"/>
  <c r="Y113" i="3"/>
  <c r="Y119" i="3"/>
  <c r="X52" i="3"/>
  <c r="X36" i="3"/>
  <c r="X59" i="3"/>
  <c r="X108" i="3"/>
  <c r="X117" i="3"/>
  <c r="X114" i="3"/>
  <c r="Y104" i="3"/>
  <c r="Y103" i="3"/>
  <c r="U13" i="3"/>
  <c r="U14" i="3"/>
  <c r="U15" i="3"/>
  <c r="U16" i="3"/>
  <c r="U17" i="3"/>
  <c r="U18" i="3"/>
  <c r="U19" i="3"/>
  <c r="U20" i="3"/>
  <c r="U21" i="3"/>
  <c r="U22" i="3"/>
  <c r="U23" i="3"/>
  <c r="U24" i="3"/>
  <c r="U27" i="3"/>
  <c r="U28" i="3"/>
  <c r="U29" i="3"/>
  <c r="U30" i="3"/>
  <c r="U31" i="3"/>
  <c r="U32" i="3"/>
  <c r="U33" i="3"/>
  <c r="U34" i="3"/>
  <c r="U35" i="3"/>
  <c r="U36" i="3"/>
  <c r="U37" i="3"/>
  <c r="U38" i="3"/>
  <c r="U43" i="3"/>
  <c r="U45" i="3"/>
  <c r="U46" i="3"/>
  <c r="U47" i="3"/>
  <c r="U48" i="3"/>
  <c r="U49" i="3"/>
  <c r="U50" i="3"/>
  <c r="U51" i="3"/>
  <c r="U52" i="3"/>
  <c r="U53" i="3"/>
  <c r="U54" i="3"/>
  <c r="U58" i="3"/>
  <c r="U59" i="3"/>
  <c r="U60" i="3"/>
  <c r="U62" i="3"/>
  <c r="U63" i="3"/>
  <c r="U64" i="3"/>
  <c r="U65" i="3"/>
  <c r="U67" i="3"/>
  <c r="U68" i="3"/>
  <c r="U69" i="3"/>
  <c r="U70" i="3"/>
  <c r="U71" i="3"/>
  <c r="U72" i="3"/>
  <c r="U76" i="3"/>
  <c r="U77" i="3"/>
  <c r="U7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" i="3"/>
  <c r="T58" i="3"/>
  <c r="Y114" i="3" l="1"/>
  <c r="Y117" i="3"/>
  <c r="Y108" i="3"/>
  <c r="Y59" i="3"/>
  <c r="Y36" i="3"/>
  <c r="T47" i="3"/>
  <c r="T46" i="3"/>
  <c r="T45" i="3"/>
  <c r="Y111" i="3" l="1"/>
  <c r="T30" i="3"/>
  <c r="T27" i="3"/>
  <c r="T19" i="3"/>
  <c r="T18" i="3"/>
  <c r="T12" i="3"/>
  <c r="P12" i="1" l="1"/>
  <c r="K47" i="1"/>
  <c r="K12" i="1" s="1"/>
  <c r="E47" i="1"/>
  <c r="E12" i="1" s="1"/>
  <c r="AD47" i="1" l="1"/>
  <c r="T47" i="1"/>
  <c r="T12" i="1" s="1"/>
  <c r="X74" i="3" l="1"/>
  <c r="U74" i="3"/>
  <c r="X73" i="3" l="1"/>
  <c r="X75" i="3"/>
  <c r="Y74" i="3"/>
  <c r="U104" i="3"/>
  <c r="J105" i="3" l="1"/>
  <c r="K105" i="3"/>
  <c r="L105" i="3"/>
  <c r="M105" i="3"/>
  <c r="N105" i="3"/>
  <c r="O105" i="3"/>
  <c r="P105" i="3"/>
  <c r="X105" i="3" l="1"/>
  <c r="Y105" i="3" s="1"/>
  <c r="U105" i="3"/>
  <c r="P123" i="3"/>
  <c r="P126" i="3" s="1"/>
  <c r="O123" i="3"/>
  <c r="O126" i="3" s="1"/>
  <c r="N123" i="3"/>
  <c r="M123" i="3"/>
  <c r="M126" i="3" s="1"/>
  <c r="L123" i="3"/>
  <c r="L126" i="3" s="1"/>
  <c r="K123" i="3"/>
  <c r="K126" i="3" s="1"/>
  <c r="J123" i="3"/>
  <c r="J126" i="3" s="1"/>
  <c r="I123" i="3"/>
  <c r="P122" i="3"/>
  <c r="P125" i="3" s="1"/>
  <c r="O122" i="3"/>
  <c r="O125" i="3" s="1"/>
  <c r="N122" i="3"/>
  <c r="N125" i="3" s="1"/>
  <c r="M122" i="3"/>
  <c r="L122" i="3"/>
  <c r="L125" i="3" s="1"/>
  <c r="K122" i="3"/>
  <c r="K125" i="3" s="1"/>
  <c r="J122" i="3"/>
  <c r="J125" i="3" s="1"/>
  <c r="I122" i="3"/>
  <c r="T114" i="3"/>
  <c r="T111" i="3"/>
  <c r="T108" i="3"/>
  <c r="T107" i="3"/>
  <c r="T76" i="3"/>
  <c r="W67" i="3"/>
  <c r="U11" i="3"/>
  <c r="T11" i="3"/>
  <c r="M125" i="3" l="1"/>
  <c r="M124" i="3" s="1"/>
  <c r="R122" i="3"/>
  <c r="I126" i="3"/>
  <c r="R126" i="3" s="1"/>
  <c r="R123" i="3"/>
  <c r="S125" i="3"/>
  <c r="J124" i="3"/>
  <c r="L124" i="3"/>
  <c r="P124" i="3"/>
  <c r="O124" i="3"/>
  <c r="K124" i="3"/>
  <c r="X122" i="3"/>
  <c r="Y122" i="3" s="1"/>
  <c r="X123" i="3"/>
  <c r="Y123" i="3" s="1"/>
  <c r="U122" i="3"/>
  <c r="U123" i="3"/>
  <c r="J121" i="3"/>
  <c r="P121" i="3"/>
  <c r="M121" i="3"/>
  <c r="K121" i="3"/>
  <c r="I121" i="3"/>
  <c r="N121" i="3"/>
  <c r="O121" i="3"/>
  <c r="L121" i="3"/>
  <c r="R121" i="3" l="1"/>
  <c r="X125" i="3"/>
  <c r="Y125" i="3" s="1"/>
  <c r="X126" i="3"/>
  <c r="X121" i="3"/>
  <c r="Y121" i="3" s="1"/>
  <c r="U121" i="3"/>
  <c r="U126" i="3"/>
  <c r="T126" i="3"/>
  <c r="T125" i="3"/>
  <c r="U125" i="3"/>
  <c r="AC75" i="1" l="1"/>
  <c r="AD75" i="1"/>
  <c r="X124" i="3"/>
  <c r="U124" i="3"/>
  <c r="T124" i="3"/>
  <c r="D13" i="1" l="1"/>
  <c r="D75" i="1" l="1"/>
  <c r="D12" i="1" s="1"/>
  <c r="R104" i="3"/>
  <c r="I105" i="3"/>
  <c r="R105" i="3" l="1"/>
  <c r="I125" i="3"/>
  <c r="R125" i="3" s="1"/>
  <c r="I124" i="3" l="1"/>
  <c r="R124" i="3" s="1"/>
  <c r="Y52" i="3"/>
  <c r="N54" i="3"/>
  <c r="N75" i="3" s="1"/>
  <c r="U75" i="3" l="1"/>
  <c r="Y75" i="3"/>
  <c r="N73" i="3"/>
  <c r="N126" i="3"/>
  <c r="Y54" i="3"/>
  <c r="S126" i="3" l="1"/>
  <c r="N124" i="3"/>
  <c r="Y126" i="3"/>
  <c r="U73" i="3"/>
  <c r="Y73" i="3"/>
  <c r="Y124" i="3" l="1"/>
  <c r="S124" i="3"/>
</calcChain>
</file>

<file path=xl/sharedStrings.xml><?xml version="1.0" encoding="utf-8"?>
<sst xmlns="http://schemas.openxmlformats.org/spreadsheetml/2006/main" count="1719" uniqueCount="495">
  <si>
    <t>краевой бюджет</t>
  </si>
  <si>
    <t>местный бюджет</t>
  </si>
  <si>
    <t xml:space="preserve">ОТЧЕТ 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</si>
  <si>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</si>
  <si>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</si>
  <si>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>Единица измерения</t>
  </si>
  <si>
    <t>ОТЧЕТ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</si>
  <si>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</si>
  <si>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</si>
  <si>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</si>
  <si>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</si>
  <si>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</si>
  <si>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</si>
  <si>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</si>
  <si>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</si>
  <si>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</si>
  <si>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</si>
  <si>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</si>
  <si>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</si>
  <si>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</si>
  <si>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</si>
  <si>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</si>
  <si>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</si>
  <si>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</si>
  <si>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</si>
  <si>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</si>
  <si>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</si>
  <si>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</si>
  <si>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</si>
  <si>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</si>
  <si>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</si>
  <si>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</si>
  <si>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</si>
  <si>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</si>
  <si>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</si>
  <si>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</si>
  <si>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</si>
  <si>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</si>
  <si>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</si>
  <si>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</si>
  <si>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</si>
  <si>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</si>
  <si>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</si>
  <si>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</si>
  <si>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</si>
  <si>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</si>
  <si>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</si>
  <si>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</si>
  <si>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</si>
  <si>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</si>
  <si>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</si>
  <si>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</si>
  <si>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</si>
  <si>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1.2.6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</si>
  <si>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</si>
  <si>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</si>
  <si>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</si>
  <si>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</si>
  <si>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</si>
  <si>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1.3.1.5</t>
  </si>
  <si>
    <t>1.3.1.6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</si>
  <si>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</si>
  <si>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</si>
  <si>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</si>
  <si>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</si>
  <si>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</si>
  <si>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</si>
  <si>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</si>
  <si>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</si>
  <si>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</si>
  <si>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</si>
  <si>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</si>
  <si>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</si>
  <si>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</si>
  <si>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</si>
  <si>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</si>
  <si>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</si>
  <si>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</si>
  <si>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</si>
  <si>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</si>
  <si>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</si>
  <si>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</si>
  <si>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</si>
  <si>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</si>
  <si>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</si>
  <si>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</si>
  <si>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</si>
  <si>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</si>
  <si>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</si>
  <si>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</si>
  <si>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</si>
  <si>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</si>
  <si>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</si>
  <si>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</si>
  <si>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</si>
  <si>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</si>
  <si>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</si>
  <si>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</si>
  <si>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</si>
  <si>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</si>
  <si>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</si>
  <si>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</si>
  <si>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</si>
  <si>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</si>
  <si>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</si>
  <si>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</si>
  <si>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</si>
  <si>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</si>
  <si>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</si>
  <si>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</si>
  <si>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</si>
  <si>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</si>
  <si>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</si>
  <si>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</si>
  <si>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</si>
  <si>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</si>
  <si>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</si>
  <si>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</si>
  <si>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</si>
  <si>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</si>
  <si>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</si>
  <si>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</si>
  <si>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</si>
  <si>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</si>
  <si>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</si>
  <si>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</si>
  <si>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</si>
  <si>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</si>
  <si>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</si>
  <si>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</si>
  <si>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</si>
  <si>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</si>
  <si>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</si>
  <si>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</si>
  <si>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</si>
  <si>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</si>
  <si>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</si>
  <si>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</si>
  <si>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</si>
  <si>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</si>
  <si>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</si>
  <si>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</si>
  <si>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</si>
  <si>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</si>
  <si>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</si>
  <si>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</si>
  <si>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</si>
  <si>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</si>
  <si>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</si>
  <si>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</si>
  <si>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</si>
  <si>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</si>
  <si>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</si>
  <si>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</si>
  <si>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</si>
  <si>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</si>
  <si>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</si>
  <si>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</si>
  <si>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</si>
  <si>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</si>
  <si>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</si>
  <si>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</si>
  <si>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</si>
  <si>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</si>
  <si>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</si>
  <si>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</si>
  <si>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</si>
  <si>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</si>
  <si>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</si>
  <si>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</si>
  <si>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</si>
  <si>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</si>
  <si>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</si>
  <si>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</si>
  <si>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</si>
  <si>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</si>
  <si>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</si>
  <si>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</si>
  <si>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</si>
  <si>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</si>
  <si>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</si>
  <si>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</si>
  <si>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</si>
  <si>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</si>
  <si>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</si>
  <si>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</si>
  <si>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</si>
  <si>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</si>
  <si>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</si>
  <si>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</si>
  <si>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</si>
  <si>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</si>
  <si>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</si>
  <si>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</si>
  <si>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</si>
  <si>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</si>
  <si>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</si>
  <si>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</si>
  <si>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</si>
  <si>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</si>
  <si>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</si>
  <si>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</si>
  <si>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</si>
  <si>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</si>
  <si>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</si>
  <si>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</si>
  <si>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</si>
  <si>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</si>
  <si>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</si>
  <si>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</si>
  <si>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</si>
  <si>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</si>
  <si>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t>о выполнении плана реализации государственной программы Краснодарского края</t>
  </si>
  <si>
    <t>Статус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</si>
  <si>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</si>
  <si>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</si>
  <si>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</si>
  <si>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</si>
  <si>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</si>
  <si>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I</t>
  </si>
  <si>
    <t>II</t>
  </si>
  <si>
    <t>III</t>
  </si>
  <si>
    <t>IV</t>
  </si>
  <si>
    <t>-</t>
  </si>
  <si>
    <t>1.1.9</t>
  </si>
  <si>
    <t>1.3.1</t>
  </si>
  <si>
    <t>из федерального бюджета</t>
  </si>
  <si>
    <t>Итого по подпрограмме "Реализация политики содействия занятости населения"</t>
  </si>
  <si>
    <t>из краевого бюджета</t>
  </si>
  <si>
    <t>Итого по подпрограмме "Улучшение условий и охрана труда"</t>
  </si>
  <si>
    <t>Министерство  здравоохранения Краснодарского края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</si>
  <si>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</si>
  <si>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</si>
  <si>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>..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</si>
  <si>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</si>
  <si>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</si>
  <si>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</si>
  <si>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</si>
  <si>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</si>
  <si>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</si>
  <si>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</si>
  <si>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2.19</t>
  </si>
  <si>
    <t xml:space="preserve">факт 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</si>
  <si>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</si>
  <si>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1.1.13</t>
  </si>
  <si>
    <t>1.2.7</t>
  </si>
  <si>
    <t>1.3.3</t>
  </si>
  <si>
    <t>2.21</t>
  </si>
  <si>
    <t>2.22</t>
  </si>
  <si>
    <t>Доля трудоустроенных работников в численности работников, прошедших переобучение, повысивших квалификацию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</si>
  <si>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Переобучение, повышение квалификации работников предприятий в целях поддержки занятости и повышения эффективности рынка труда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</si>
  <si>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Повышение эффективности службы занятости в рамках регионального проекта "Поддержка занятости и повышение эффективности рынка труда для обеспечения роста производительности труда"</t>
  </si>
  <si>
    <t>согласование не менее 5 учебных программ</t>
  </si>
  <si>
    <t>организация не менее 2 краевых конкурсов по охране труда</t>
  </si>
  <si>
    <t>выполнено</t>
  </si>
  <si>
    <t>не  выполнено</t>
  </si>
  <si>
    <t>Разработка программы "нулевого травматизма", рекомендуемой для внедрения в организациях Краснодарского края</t>
  </si>
  <si>
    <t>Согласование учебных программ по охране труда,
используемых аккредитованными обучающими организациями, с целью обеспечения их соответствия изменениям в трудовом законодательстве</t>
  </si>
  <si>
    <t>1.5.4.</t>
  </si>
  <si>
    <t>Организация и проведение краевых конкурсов по охране труда, направленных на профилактику несчастных случаев и повреждения здоровья работников: "Лучший специалист по охране труда Краснодарского края" и детских рисунков "Я выбираю безопасный труд", за исключением мероприятий, предусмотренных пунктом 1.5.3 раздела 2 подпрограммы "Улучшение условий и охраны труда"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</si>
  <si>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</si>
  <si>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2.27</t>
  </si>
  <si>
    <t>2.28</t>
  </si>
  <si>
    <t>Уровень занятости женщин, имеющих детей дошкольного возраста</t>
  </si>
  <si>
    <t xml:space="preserve">                                                                                                                                                                                          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</si>
  <si>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</si>
  <si>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</si>
  <si>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</si>
  <si>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1.1.3.6</t>
  </si>
  <si>
    <t>1.1.3.5</t>
  </si>
  <si>
    <t>1.1.3.7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</si>
  <si>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</si>
  <si>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1.1.3.8</t>
  </si>
  <si>
    <t>финансовое обеспечение подведомственных министерству физической культуры и спорта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</si>
  <si>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1.1.3.9</t>
  </si>
  <si>
    <t>финансовое обеспечение подведомственных департаменту по архитектуре и градостроительству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</si>
  <si>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1.1.3.10</t>
  </si>
  <si>
    <t>финансовое обеспечение подведомственных департаменту по делам казачества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</si>
  <si>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</si>
  <si>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департамент ветеринарии Краснодарского края</t>
  </si>
  <si>
    <t>министерство гражданской обороны  и чрезвычайных ситуаций Краснодарского края</t>
  </si>
  <si>
    <t>министерство физической культуры и спорта Краснодарского края</t>
  </si>
  <si>
    <t xml:space="preserve">департамент по архитектуре и градостроительству Краснодарского края </t>
  </si>
  <si>
    <t>Удельный вес безработных граждан в возрасте 16 - 29 лет, ищущих работу 12 и более месяцев, в общей численности безработных граж-дан в возрасте 16 - 29 лет, зарегистрированных в органах службы занятости</t>
  </si>
  <si>
    <t>1.5.4</t>
  </si>
  <si>
    <t>начальник отдела трудоустройства и организации профессионального обучения в управлении занятости населения 
Слепченко М.В.</t>
  </si>
  <si>
    <t xml:space="preserve">начальник отдела специальных про-грамм и сопровож-дения занятости инвалидов в управлении заня-тости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</si>
  <si>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
</t>
  </si>
  <si>
    <t xml:space="preserve">начальник планово-финансового отдела
Печонова Е.И.
</t>
  </si>
  <si>
    <t xml:space="preserve">начальник отдела специальных программ и сопровождения занятости инвалидов в управлении занятости населения 
Михайловская Л.Д.
</t>
  </si>
  <si>
    <t xml:space="preserve">начальник отдела управления охраны труда и социальных гарантий в управлении труда 
Мацокин А.М.; начальник отдела государственной экспертизы условий труда в управлении труда Сынкова Е.В.
</t>
  </si>
  <si>
    <t>начальник отдела государственной экспертизы условий труда в управлении труда Сынкова Е.В.</t>
  </si>
  <si>
    <t>начальник отдела управления охраны труда и социальных гарантий в управлении труда 
Мацокин А.М.</t>
  </si>
  <si>
    <t xml:space="preserve">начальник отдела трудоустройства и организации профессионального обучения в управлении занятости населения 
Слепченко М.В.
</t>
  </si>
  <si>
    <t>1.3.1.7</t>
  </si>
  <si>
    <t>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</si>
  <si>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4.1</t>
  </si>
  <si>
    <t>4.2</t>
  </si>
  <si>
    <t>4.3</t>
  </si>
  <si>
    <t>4.4</t>
  </si>
  <si>
    <t>4.5</t>
  </si>
  <si>
    <t>4.5.1</t>
  </si>
  <si>
    <t>4.5.2</t>
  </si>
  <si>
    <t>4.6</t>
  </si>
  <si>
    <t>4.7</t>
  </si>
  <si>
    <t>4.8</t>
  </si>
  <si>
    <t xml:space="preserve"> 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</si>
  <si>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</si>
  <si>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</si>
  <si>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</si>
  <si>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здравоохранения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</si>
  <si>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Информирование о положении на рынке труда в Краснодарском крае</t>
  </si>
  <si>
    <t>Содействие гражданам в поиске подходящей работы, а работодателям – в подборе необходимых работников</t>
  </si>
  <si>
    <t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</t>
  </si>
  <si>
    <t>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</t>
  </si>
  <si>
    <t>Осуществление социальных выплат гражданам, признанным в установленном порядке безработными</t>
  </si>
  <si>
    <t>Проведение опроса (анкетирования) инвалидов для определения потребности в трудоустройстве, профессиональном обучении и открытии собственного дела</t>
  </si>
  <si>
    <t>Формирование краевого банка вакансий для инвалидов, в том числе на квотируемые рабочие места</t>
  </si>
  <si>
    <t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</t>
  </si>
  <si>
    <t>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</si>
  <si>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</si>
  <si>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</t>
  </si>
  <si>
    <t>Организационно-техническое обеспечение работы краевой межведомственной комиссии по охране труда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</si>
  <si>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</si>
  <si>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Согласование  учебных программ по охране труда, используемых аккредитованными обучающими организациями, с целью обеспечения их соответствия изменениям в трудовом законодательстве</t>
  </si>
  <si>
    <t>Контрольное событие 1.1.1  Направление в центры занятости населения информации о положении на рынке труда в Краснодарском крае</t>
  </si>
  <si>
    <t>Контрольное событие 1.1.4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</si>
  <si>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Контрольное событие 1.1.6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</si>
  <si>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1.1.6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</si>
  <si>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</si>
  <si>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Контрольное событие 1.1.6 Организация и проведение ярмарок вакансий на территории 44 муниципальных образований, в рамках краевой акции "Планета ресурсов"</t>
  </si>
  <si>
    <t>Контрольное событие 1.1.6 Организация и проведение ярмарок вакансий на территории 44 муниципальных образований в рамках краевой акции "Ты нужен Кубани"</t>
  </si>
  <si>
    <t>Контрольное событие 1.1.7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</si>
  <si>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1.1.7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</si>
  <si>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1.1.8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– 9 мая</t>
  </si>
  <si>
    <t>Контрольное событие 1.1.9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</si>
  <si>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 1.2.1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</si>
  <si>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Контрольное событие 1.2.1  Профориентационная акция "Выбери будущее сегодня" для подростков, состоящих на профилактическом учете в комиссиях по делам несовершеннолетних и защите их прав</t>
  </si>
  <si>
    <t>Контрольное событие 1.4.1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</si>
  <si>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Контрольное событие 1.4.2 Проведение мониторинга дополнительной потребности организаций в квалифицированных кадрах</t>
  </si>
  <si>
    <t>Контрольное событие1.4.2 Проведение обучающего семинара со специалистами центров занятости населения в режиме аудиоконференции по теме: "Мониторинг дополнительной потребности организаций в квалифицированных кадрах"</t>
  </si>
  <si>
    <t>Контрольное событие № 1.4.3 Проведение обучающего семинара со специалистами центров занятости населения в режиме аудиоконференции по теме: "Разработка прогнозного баланса трудовых ресурсов муниципального образования на период до 2022 года"</t>
  </si>
  <si>
    <t>Контрольное событие 1.5.3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</si>
  <si>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Контрольное событие 1.2.4 Проведение заседания краевой межведомственной комиссии по охране труда</t>
  </si>
  <si>
    <t>Контрольное событие 1.5.1 Издание информационно-аналитического бюллетеня "Охрана труда в Краснодарском крае"</t>
  </si>
  <si>
    <t>на 0,5 %</t>
  </si>
  <si>
    <t>снижение уровня смертельного травматизма на 0,5 %</t>
  </si>
  <si>
    <t>Осуществление уведомительной регистрации коллективных договоров, региональных, территориальных и иных соглашений в сфере социального партнерства</t>
  </si>
  <si>
    <t>Контрольное событие 1.1.8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</si>
  <si>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Контрольное событие 1.2.4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</si>
  <si>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1.4.4</t>
  </si>
  <si>
    <t>Финансовое обеспечение органов исполнительной власти и поведомственных им государственных учреждений на организацию осуществления переданного полномочия Российской Федерации по осуществлению социальных выплат, признанным в установленном порядке безработным гражданам</t>
  </si>
  <si>
    <t>на 0,1%</t>
  </si>
  <si>
    <t xml:space="preserve">1.3.3 </t>
  </si>
  <si>
    <t xml:space="preserve">1.2.6 </t>
  </si>
  <si>
    <t>Контрольное событие 1.1.6 Организация и проведение ярмарок вакансий на территории 44 муниципальных образований, приуроченных к празднованию Дня матери, в рамках краевой акции «Профессиональный мир женщины»</t>
  </si>
  <si>
    <t>Контрольное событие 1.1.6 Организация и проведение ярмарок вакансий на территории 44 муниципальных образований, приуроченных к международному дню инвалида, в рамках краевой декады «Служба занятостинаселения для инвалидов»</t>
  </si>
  <si>
    <t xml:space="preserve">Осуществление уведомительной регистрации коллективных договоров, региональных, территориальных и иных соглашений в сфере социального партнерства
</t>
  </si>
  <si>
    <t xml:space="preserve">Возмещение Пенсионному фонду Российской Федерации расходов, связанных с выплатой пенсии, назначенной по предложению органов службы занятости на период до наступления возраста, дающего право на страховую пенсию по старости, в том числе назначаемую досрочно, социальных пособий на погребение и оплатой стоимости услуг по погребению умерших неработавших пенсионеров, досрочно оформивших пенсию по предложению органов службы занятости, включая расходы на доставку
</t>
  </si>
  <si>
    <t>присвоение статуса отраслевого центра одной аккредитованной обучающей организации</t>
  </si>
  <si>
    <t>ед.</t>
  </si>
  <si>
    <t>численность участников Государственной программы и членов их семей, направленных на получение дополнитель-       ного профессиональ-      ного образования</t>
  </si>
  <si>
    <t>Начальник отдела реализации 
национальных проектов и государственных программ</t>
  </si>
  <si>
    <t>О.Г. Лычагина</t>
  </si>
  <si>
    <t>государственных программ</t>
  </si>
  <si>
    <t xml:space="preserve">Начальник отдела реализации 
национальных проектов и </t>
  </si>
  <si>
    <t>09.01.20210</t>
  </si>
  <si>
    <t xml:space="preserve">31.03.2020,
30.06.2020,
30.09.2020,
31.12.2020
</t>
  </si>
  <si>
    <t>1.2.9</t>
  </si>
  <si>
    <t>1.2.10</t>
  </si>
  <si>
    <t>Финансовое обеспечение подведомственных мини-стерству финансов Крас-нодарского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</si>
  <si>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1.1.3.11</t>
  </si>
  <si>
    <t xml:space="preserve">министерство фи-нансов Краснодар-ского края 
</t>
  </si>
  <si>
    <t>Финансовое обеспечение подведомственных депар-таменту имущественных отношений Краснодарско-го края государственных казенных учреждений Краснодарского края в ча-сти проведения специаль-ной оценки условий труда на рабочих местах</t>
  </si>
  <si>
    <t>1.1.3.12</t>
  </si>
  <si>
    <t xml:space="preserve">департамент иму-щественных отно-шений Краснодар-ского края 
</t>
  </si>
  <si>
    <t>Финансовое обеспечение подведомственных депар-таменту по регулированию контрактной системы Краснодарского края госу-дарственных казенных учреждений Краснодар-ского края в части прове-дения специальной оценки условий труда на рабочих местах</t>
  </si>
  <si>
    <t>1.1.3.13</t>
  </si>
  <si>
    <t xml:space="preserve">департамент по ре-гулированию кон-трактной системы Краснодарского края </t>
  </si>
  <si>
    <t>1.1.3.14</t>
  </si>
  <si>
    <t>Финансовое обеспечение подведомственных депар-таменту потребительской сферы и регулирования рынка алкоголя Красно-дарского края государ-ственных казенных учре-ждений Краснодарского края в части проведения специальной оценки усло-вий труда на рабочих ме-стах</t>
  </si>
  <si>
    <t>департамент потре-бительской сферы и регулирования рынка алкоголя Краснодарского края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</si>
  <si>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"Содействие занятости женщин - создание условий дошкольного образования для детей в возрасте до трех лет"</t>
  </si>
  <si>
    <t>Организация профессионального обучения и дополнительного профессионального образования лиц в возрасте 50 лет и старше, а также лиц предпенсионного возраста в рамках регионального проекта "Разработка и реализация программы системной поддержки и повышения качества жизни граждан старшего поколения "Старшее поколение"</t>
  </si>
  <si>
    <t>22,2 тыс.</t>
  </si>
  <si>
    <t>2.23 (1)</t>
  </si>
  <si>
    <t>2.24 (1)</t>
  </si>
  <si>
    <t>рассчитывается по итогам года</t>
  </si>
  <si>
    <t xml:space="preserve">министерство фи-нансов Краснодар-ского края </t>
  </si>
  <si>
    <t xml:space="preserve">департамент иму-щественных отно-шений Краснодар-ского края </t>
  </si>
  <si>
    <t>департамент по ре-гулированию кон-трактной системы Краснодарского края</t>
  </si>
  <si>
    <t>проведение двух презентаций, выпуск 5 тыс. буклетов 9листовок), размещение информации в СМИ - публикации</t>
  </si>
  <si>
    <t>выполнение оценивается по итогам года</t>
  </si>
  <si>
    <t>выполнение оценивается по итогам года\</t>
  </si>
  <si>
    <t>ежеквартально анализируется информация о передовом опыте в области охраны труда  и размещается в информационно аналитическом бюллетене охрана труда в КК</t>
  </si>
  <si>
    <t>не выплолнено</t>
  </si>
  <si>
    <t>Салатгереева Каралина Сайгитбаталовна</t>
  </si>
  <si>
    <t>+7 (861) 259-65-04</t>
  </si>
  <si>
    <t>Дата проведения семинара перенесена в связи со сдачей центрами занятости населения ежемесячной отчетности</t>
  </si>
  <si>
    <t xml:space="preserve">департамент по делам казачества, военным вопросам и работе с допризывной молодежью Краснодарского края </t>
  </si>
  <si>
    <t xml:space="preserve">департамент вете-ринарии Красно-дарского края
</t>
  </si>
  <si>
    <t xml:space="preserve">министерство здравоохранения Краснодарского края
</t>
  </si>
  <si>
    <t xml:space="preserve">Численность работников предприятий - участников проекта национального проекта "Производительность труда и поддержка занятости", прошедших переобучение, повысивших квалификацию в целях повышения производительности труда в рамках регионального проекта "Поддержка занятости и повышение эффективности рынка труда для обеспечения роста производительности труда", нарастающим итогом
</t>
  </si>
  <si>
    <t>Показатель рассчитывается на федеральном уровне Росстатом в целом по Российской Федерации и по субъектам Российской Федерации на ежегодной основе (Приказ Росстата от 31.10.2019 № 639 "Об утверждении Методики расчета показателей "Уровень занятости женщин, имеющих детей дошкольного возраста" и "Уровень занятости женщин, имеющих детей в возрасте до трех лет" федерального проекта "Содействие занятости женщин - создание условий дошкольного образования для детей в возрасте до трех лет" национального проекта "Демография"). Источником информации для расчета Показателя является выборочное обследование рабочей силы (форма № 1-3 "Анкета выборочного обследования рабочей силы").</t>
  </si>
  <si>
    <t>2.29</t>
  </si>
  <si>
    <t xml:space="preserve">Доля работников, продолжающих осуществлять трудовую деятельность, из числа работников, прошедших переобучение или повысивших квалификацию
</t>
  </si>
  <si>
    <t>2.30</t>
  </si>
  <si>
    <t xml:space="preserve">Доля занятых в численности лиц в возрасте 50 лет и старше, а также лиц предпенсионного возраста, прошедших профессиональное обучение или получивших дополнительное профессиональное образование
</t>
  </si>
  <si>
    <t>2.31</t>
  </si>
  <si>
    <t xml:space="preserve">Доля приступивших к трудовой деятельности в общей численности прошедших переобучение и повышение квалификации женщин, находящихся в отпуске по уходу за ребенком, а также женщин, имеющих детей дошкольного возраста
</t>
  </si>
  <si>
    <t>1182/228</t>
  </si>
  <si>
    <t>Салатгереева Каралина Сайгитбаталовна, 
+7 (861) 259-65-04</t>
  </si>
  <si>
    <t>Начальник отдела анализа, прогноза и мониторинга трудовых ресурсов в управлении занятости населения Скоробогатько А.В.</t>
  </si>
  <si>
    <t>Причины не достижения фактического значения показателя в отчетном периоде</t>
  </si>
  <si>
    <t xml:space="preserve">Доля соискателей - получателей услуг по подбору вакансий центров занятости населения, в которых реализованы проекты по модернизации, удовлетворенных полученными услугами
</t>
  </si>
  <si>
    <t xml:space="preserve">Доля работодателей - получателей услуг по подбору работников центров занятости населения, в которых реализованы проекты по модернизации, удовлетворенных полученными услугами
</t>
  </si>
  <si>
    <t xml:space="preserve">30.10.2020
</t>
  </si>
  <si>
    <t xml:space="preserve">начальник отдела специальных про-грамм и сопровож-дения занятости инвалидов в управлении занятости населения 
Михайловская Л.Д.
</t>
  </si>
  <si>
    <t>30.09.2020,
31.12.2020</t>
  </si>
  <si>
    <t>Организация переобучения и повышения квалификации женщин, находящихся в отпуске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занятости, в рамках регионального проекта «Содействие занятости женщин – создание условий дошкольного образования для детей в возрасте до трех лет»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</si>
  <si>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пред-пенсионного возраста в рамках регионального проекта «Разработка и реализация программы системной поддержки и повышения качества жизни граждан старшего поколения «Старшее поколение»</t>
  </si>
  <si>
    <t xml:space="preserve">начальник отдела трудоустройства и организации профессионального обучения в управлении занятости населения министерства труда и социального развития Краснодарского края
Слепченко М.В.
</t>
  </si>
  <si>
    <t xml:space="preserve">начальник отдела анализа, прогноза и мониторинга трудовых ресурсов в управлении занятости населения
Скоробогатько А.В.,
начальник отдела автоматизации и информационных технологий
Воробьев Е.Е.
</t>
  </si>
  <si>
    <t xml:space="preserve">начальник отдела управления охраны труда и социальных гарантий в управлении труда министерства труда и социального развития Краснодарского края
Мацокин А.М.
</t>
  </si>
  <si>
    <t>Финансовое обеспечение подведомственных департаменту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</si>
  <si>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министерство гражданской обороны  и чрезвычайных ситуаций Краснодарского края
</t>
  </si>
  <si>
    <t>Финансовое обеспечение подведомственных департаменту по делам казачества и военным вопросам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</si>
  <si>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министерству финансов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</si>
  <si>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имущественных отношений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</si>
  <si>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 регулированию контрактной системы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</si>
  <si>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Финансовое обеспечение подведомственных департаменту потребительской сферы и регулирования рынка алкоголя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</si>
  <si>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</t>
  </si>
  <si>
    <t>Компенсация расходов участников Государственной программы и членов их семей на первичное медицинское обследование</t>
  </si>
  <si>
    <t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</t>
  </si>
  <si>
    <t>Организация предоставления дополнительного профессионального образования участникам Государственной программы и членам их семей</t>
  </si>
  <si>
    <t>Содействие в трудоустройстве участников Государственной программы и членов их семей на вакантные рабочие места</t>
  </si>
  <si>
    <t>Номер основного мероприятия, контрольного события, мероприятия</t>
  </si>
  <si>
    <t>Наименование подпрограммы, отдельного мероприятия, ведомственной целевой программы, контрольного события</t>
  </si>
  <si>
    <t>Ответственный за реализацию мероприятия, выполнение контрольного события</t>
  </si>
  <si>
    <t>министерство обра-зования, науки и молодежной политики Краснодарского края</t>
  </si>
  <si>
    <t>Финансовое обеспечение подведомственных министерству гражданской обороны  и чрезвычайных ситуаций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</si>
  <si>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Номер  мероприятия</t>
  </si>
  <si>
    <t>Заключено государственных контрактов на отчетную дату, тыс. Рублей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</si>
  <si>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</si>
  <si>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</si>
  <si>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выполнение запланировано в 4 квартале</t>
  </si>
  <si>
    <t>опрос инвалидов планируется провести в 4 квартале</t>
  </si>
  <si>
    <t>выполнение запланировано во 4 квартале</t>
  </si>
  <si>
    <t>создание отраслевого центра планируется в 4 квартале 2020 года</t>
  </si>
  <si>
    <t>1.1.14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</si>
  <si>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 а также безработных граждан
</t>
  </si>
  <si>
    <t>0,5/17</t>
  </si>
  <si>
    <t>19,2 тыс.</t>
  </si>
  <si>
    <t>1616/99</t>
  </si>
  <si>
    <t>численность граждан, принявших участие в общественных работах</t>
  </si>
  <si>
    <t xml:space="preserve">выполнение оценивается по итогам года
</t>
  </si>
  <si>
    <t>Прогноз баланса трудовых ресурсов Краснодарского края до 2023 года разработан и направлен в министерство экономики Краснодарского края 30 сентября 2020 г. (письмо от 30.09.2020 г.                                                    № 204-32.3-15-26636/20)</t>
  </si>
  <si>
    <t>2.32</t>
  </si>
  <si>
    <t>Численность трудоустроенных на общественные работы граждан, ищущих работу и обратившихся в органы службы занятости</t>
  </si>
  <si>
    <t>2.33</t>
  </si>
  <si>
    <t>Численность трудоустроенных на общественные работы безработных граждан</t>
  </si>
  <si>
    <t>2.34</t>
  </si>
  <si>
    <t>Коэффициент напряженности на рынке труда</t>
  </si>
  <si>
    <t>реализуются или реализованы проекты по модернизации в 1 государственном казенном учреждении Краснодарского края центре занятости населения</t>
  </si>
  <si>
    <t>За 9 месяцев 2020 года охват мониторингом составил  79,2 % от общего количества работающих в крае</t>
  </si>
  <si>
    <t>коэффициент смертельного травматизма  остался на  уровне аналогичного периода прошлого года и составил 0,014</t>
  </si>
  <si>
    <t>Проведены краевые конкурсы: "Лучший специалист по охране труда Краснодарского края" и детских рисунков "Я выбираю безопасный труд"</t>
  </si>
  <si>
    <t xml:space="preserve">10.01.2020,
10.02.2020,
10.03.2020,
09.04.2020,
15.05.2020,
15.06.2020, 14.07.2020, 10.08.2020, 15.09.2020 </t>
  </si>
  <si>
    <t>30.03.2020,
30.06.2020, 30.09.2020</t>
  </si>
  <si>
    <t>05.03.2020,
14.07.2020</t>
  </si>
  <si>
    <t>10.01.2020,
10.02.2020,
10.03.2020,
09.04.2020,
15.05.2020,
15.06.2020,
14.07.2020,
10.08.2020,
15.09.2020,
09.10.2020,
10.11.2020,
10.12.2020,
08.01.2021</t>
  </si>
  <si>
    <t>30.03.2020,
29.06.2020,
30.09.2020,
31.12.2020</t>
  </si>
  <si>
    <t>Итоги прогноза дополнительной потребности отраслевых организаций Краснодарского края в квалифицированных кадрах на период до 2027 года сформированы и направлены в министерство образования, науки и молодежной политики Краснодарского края</t>
  </si>
  <si>
    <t>за 9 месяцев 2020 года</t>
  </si>
  <si>
    <t>Причины неполного финансирования (отсутствия финансирования)</t>
  </si>
  <si>
    <t>предшествующий отчетный год</t>
  </si>
  <si>
    <t>\</t>
  </si>
  <si>
    <t>Причины несоблюдения планового срока реализации, неполного финансирования (отсутствия финансирования)</t>
  </si>
  <si>
    <t>Поступило 79 запросов на 353 рабочих места,  подготовлено 75 заключений: о целесообразности или частичной целесообразности привлечения иностранных работников 74 заключения, 1 заключение о нецелесообразности привлечения иностранных работников. Согласовано привлечение иностранных работников на 349 рабочих мест, из них 175 в рамках установленной квоты.</t>
  </si>
  <si>
    <t xml:space="preserve">Разработан приказ МТиСР КК от 21.02.2020 № 194 "О проведении краевого конкурса "Лучший специалист по охране труда Краснодарского края – 2020", приказ МТиСР КК от 25.09.2020 № 1361 о проведении месячника "Безопасный труд в организациях строительной отрасли", приказ МТиСР КК от 30.09.2020 № 1380 "О проведении краевого конкурса детских рисунков "Я выбираю безопасный труд". 
</t>
  </si>
  <si>
    <t xml:space="preserve">Предоставление субсидий работодателям (юридическим лицам (за исключением субсидий государственным (муниципальным) учреждениям) и индивидуальным предпринимателям) в целях возмещения расходов на частичную оплату труда при организации общественных работ для граждан, ищущих работу и обратившихся в органы службы занятости,
а также безработных граждан
</t>
  </si>
  <si>
    <t>произведена оплата по факту проведения работ по специальной оценке условий труда</t>
  </si>
  <si>
    <t>26.03.2020,
25.06.2020,
24.09.2020</t>
  </si>
  <si>
    <t>26.03.2020,
25.06.2020,
22.09.2020</t>
  </si>
  <si>
    <t>показатель установлен в 3 квартале</t>
  </si>
  <si>
    <t>рассчитывается по полугодиям</t>
  </si>
  <si>
    <t>в связи с увеличением численности зарегистрированных безработных граждан</t>
  </si>
  <si>
    <t xml:space="preserve">в связи с отсутствием потребности безработных граждан в оказании государственной услуги </t>
  </si>
  <si>
    <t>в связи с введением в Краснодарском крае ограничительных мероприятий (карантина) центрами занятости населения предоставление государственной услуги не осуществлялось с марта по июнь 2020 г</t>
  </si>
  <si>
    <t>в связи с введением в Краснодарском крае ограничительных мероприятий (карантина) хозяйственная деятельность работодателей была ограничена</t>
  </si>
  <si>
    <t xml:space="preserve">в связи с введением в Краснодарском крае ограничительных мероприятий (карантина) центрами занятости населения предоставление государственной услуги по организации общественных работ не осуществлялось с марта по июнь 2020 г. </t>
  </si>
  <si>
    <t xml:space="preserve">в связи с отсутствием потребности  граждан в оказании государственной услуги </t>
  </si>
  <si>
    <t>В период действия ограничительных мероприятий временная приостановка работы рядом организаций привела к снижению в 2 раза количества заявленных вакансий, отсутствие возможности посещения гражданами центров занятости населения и их приема для выдачи направлений на работу привело к уменьшению в 
апреле – июне 2020 года численности трудоустроенных граждан</t>
  </si>
  <si>
    <t>В период действия ограничительных мероприятий временная приостановка работы рядом организаций привела к снижению в 2 раза количества заявленных вакансий, отсутствие возможности посещения гражданами центров занятости населения и их приема для выдачи направлений на работу привело к уменьшению в 
апреле – июне 2020 года численности трудоустроенных граждан.
Также, рост безработицы вызван выходом в период действия ограничительных мероприятий на рынок труда длительно не работающих граждан (более года) или впервые ищущих работу (54 % от общей численности безработных), возможностью дистанционного оформления пособия по безработице через информационно-аналитическую систему "Общероссийская база вакансий "Работа в России". Также на ситуацию с безработицей в Краснодарском крае повлияли увеличение в полтора раза максимального и в три раза минимального размеров пособия по безработице; дополнительные выплаты на детей до 18 лет; продление выплаты пособия на 3 месяца; выплата максимального размера пособия по безработице индивидуальным предпринимателям</t>
  </si>
  <si>
    <t>в связи с введением в Краснодарском крае ограничительных мероприятий (карантина) центрами занятости населения предоставление государственной услуги не осуществлялось с марта по июнь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</si>
</sst>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(* #,##0_);_(* \(#,##0\);_(* &quot;-&quot;_);_(@_)"/>
    <numFmt numFmtId="168" formatCode="_(&quot;$&quot;* #,##0_);_(&quot;$&quot;* \(#,##0\);_(&quot;$&quot;* &quot;-&quot;_);_(@_)"/>
    <numFmt numFmtId="169" formatCode="_(* #,##0.00_);_(* \(#,##0.00\);_(* &quot;-&quot;??_);_(@_)"/>
    <numFmt numFmtId="170" formatCode="0.0%"/>
  </numFmts>
  <fonts count="4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vertAlign val="superscript"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Calibri"/>
      <family val="2"/>
      <charset val="204"/>
      <scheme val="minor"/>
    </font>
    <font>
      <sz val="9.5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11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4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255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3" borderId="0" xfId="0" applyFont="1" applyFill="1"/>
    <xf numFmtId="0" fontId="5" fillId="2" borderId="0" xfId="0" applyFont="1" applyFill="1"/>
    <xf numFmtId="166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5" fillId="2" borderId="0" xfId="3" applyFont="1" applyFill="1"/>
    <xf numFmtId="166" fontId="5" fillId="2" borderId="0" xfId="3" applyNumberFormat="1" applyFont="1" applyFill="1"/>
    <xf numFmtId="0" fontId="16" fillId="2" borderId="1" xfId="0" applyFont="1" applyFill="1" applyBorder="1" applyAlignment="1">
      <alignment vertical="center" wrapText="1"/>
    </xf>
    <xf numFmtId="0" fontId="17" fillId="2" borderId="0" xfId="0" applyFont="1" applyFill="1" applyAlignment="1"/>
    <xf numFmtId="0" fontId="30" fillId="2" borderId="0" xfId="0" applyFont="1" applyFill="1"/>
    <xf numFmtId="0" fontId="0" fillId="2" borderId="0" xfId="0" applyFill="1"/>
    <xf numFmtId="0" fontId="29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1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Alignment="1">
      <alignment horizontal="center"/>
    </xf>
    <xf numFmtId="166" fontId="9" fillId="2" borderId="1" xfId="0" applyNumberFormat="1" applyFont="1" applyFill="1" applyBorder="1" applyAlignment="1">
      <alignment horizontal="center" textRotation="90" wrapText="1"/>
    </xf>
    <xf numFmtId="166" fontId="7" fillId="2" borderId="1" xfId="0" applyNumberFormat="1" applyFont="1" applyFill="1" applyBorder="1" applyAlignment="1">
      <alignment horizontal="center" textRotation="90" wrapText="1"/>
    </xf>
    <xf numFmtId="0" fontId="0" fillId="2" borderId="0" xfId="0" applyFill="1" applyAlignment="1">
      <alignment wrapText="1"/>
    </xf>
    <xf numFmtId="0" fontId="8" fillId="2" borderId="1" xfId="1" applyFont="1" applyFill="1" applyBorder="1" applyAlignment="1">
      <alignment horizontal="center"/>
    </xf>
    <xf numFmtId="0" fontId="2" fillId="2" borderId="0" xfId="1" applyFont="1" applyFill="1"/>
    <xf numFmtId="49" fontId="2" fillId="2" borderId="1" xfId="1" applyNumberFormat="1" applyFont="1" applyFill="1" applyBorder="1"/>
    <xf numFmtId="166" fontId="2" fillId="2" borderId="0" xfId="1" applyNumberFormat="1" applyFont="1" applyFill="1"/>
    <xf numFmtId="49" fontId="2" fillId="2" borderId="1" xfId="1" applyNumberFormat="1" applyFont="1" applyFill="1" applyBorder="1" applyAlignment="1">
      <alignment horizontal="left"/>
    </xf>
    <xf numFmtId="49" fontId="23" fillId="2" borderId="0" xfId="0" applyNumberFormat="1" applyFont="1" applyFill="1" applyBorder="1"/>
    <xf numFmtId="0" fontId="2" fillId="2" borderId="0" xfId="0" applyFont="1" applyFill="1" applyBorder="1"/>
    <xf numFmtId="0" fontId="24" fillId="2" borderId="0" xfId="0" applyFont="1" applyFill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166" fontId="5" fillId="3" borderId="0" xfId="0" applyNumberFormat="1" applyFont="1" applyFill="1"/>
    <xf numFmtId="0" fontId="2" fillId="2" borderId="0" xfId="0" applyFont="1" applyFill="1" applyAlignment="1">
      <alignment horizontal="right"/>
    </xf>
    <xf numFmtId="0" fontId="16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/>
    <xf numFmtId="0" fontId="5" fillId="2" borderId="0" xfId="0" applyFont="1" applyFill="1"/>
    <xf numFmtId="16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1" xfId="0" applyFont="1" applyFill="1" applyBorder="1" applyAlignment="1">
      <alignment vertical="center" wrapText="1"/>
    </xf>
    <xf numFmtId="49" fontId="2" fillId="2" borderId="0" xfId="0" applyNumberFormat="1" applyFont="1" applyFill="1"/>
    <xf numFmtId="0" fontId="0" fillId="4" borderId="0" xfId="0" applyFill="1"/>
    <xf numFmtId="0" fontId="2" fillId="3" borderId="0" xfId="1" applyFont="1" applyFill="1"/>
    <xf numFmtId="166" fontId="10" fillId="0" borderId="1" xfId="2" applyNumberFormat="1" applyFont="1" applyFill="1" applyBorder="1" applyAlignment="1">
      <alignment horizontal="right" vertical="center"/>
    </xf>
    <xf numFmtId="166" fontId="10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Border="1"/>
    <xf numFmtId="0" fontId="5" fillId="2" borderId="0" xfId="0" applyFont="1" applyFill="1" applyAlignment="1">
      <alignment horizontal="justify"/>
    </xf>
    <xf numFmtId="0" fontId="6" fillId="2" borderId="0" xfId="0" applyFont="1" applyFill="1"/>
    <xf numFmtId="0" fontId="10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horizontal="left"/>
    </xf>
    <xf numFmtId="166" fontId="3" fillId="2" borderId="0" xfId="1" applyNumberFormat="1" applyFont="1" applyFill="1"/>
    <xf numFmtId="0" fontId="3" fillId="2" borderId="0" xfId="1" applyFont="1" applyFill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16" fillId="2" borderId="0" xfId="0" applyNumberFormat="1" applyFont="1" applyFill="1"/>
    <xf numFmtId="0" fontId="16" fillId="2" borderId="0" xfId="0" applyFont="1" applyFill="1"/>
    <xf numFmtId="0" fontId="33" fillId="5" borderId="0" xfId="0" applyFont="1" applyFill="1"/>
    <xf numFmtId="0" fontId="34" fillId="5" borderId="0" xfId="1" applyFont="1" applyFill="1"/>
    <xf numFmtId="166" fontId="34" fillId="5" borderId="0" xfId="1" applyNumberFormat="1" applyFont="1" applyFill="1"/>
    <xf numFmtId="0" fontId="35" fillId="5" borderId="0" xfId="0" applyFont="1" applyFill="1"/>
    <xf numFmtId="166" fontId="10" fillId="0" borderId="1" xfId="0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/>
    <xf numFmtId="49" fontId="2" fillId="2" borderId="1" xfId="1" applyNumberFormat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49" fontId="5" fillId="2" borderId="0" xfId="0" applyNumberFormat="1" applyFont="1" applyFill="1"/>
    <xf numFmtId="0" fontId="40" fillId="2" borderId="0" xfId="0" applyFont="1" applyFill="1"/>
    <xf numFmtId="0" fontId="40" fillId="2" borderId="0" xfId="0" applyFont="1" applyFill="1" applyAlignment="1">
      <alignment horizontal="left"/>
    </xf>
    <xf numFmtId="0" fontId="41" fillId="2" borderId="0" xfId="0" applyFont="1" applyFill="1"/>
    <xf numFmtId="0" fontId="41" fillId="0" borderId="0" xfId="0" applyFont="1" applyFill="1"/>
    <xf numFmtId="0" fontId="40" fillId="0" borderId="0" xfId="0" applyFont="1" applyFill="1"/>
    <xf numFmtId="4" fontId="5" fillId="2" borderId="0" xfId="0" applyNumberFormat="1" applyFont="1" applyFill="1"/>
    <xf numFmtId="166" fontId="7" fillId="0" borderId="1" xfId="0" applyNumberFormat="1" applyFont="1" applyFill="1" applyBorder="1" applyAlignment="1">
      <alignment horizontal="center" textRotation="90" wrapText="1"/>
    </xf>
    <xf numFmtId="166" fontId="9" fillId="0" borderId="1" xfId="0" applyNumberFormat="1" applyFont="1" applyFill="1" applyBorder="1" applyAlignment="1">
      <alignment horizontal="center" textRotation="90" wrapText="1"/>
    </xf>
    <xf numFmtId="166" fontId="14" fillId="0" borderId="1" xfId="1" applyNumberFormat="1" applyFont="1" applyFill="1" applyBorder="1" applyAlignment="1">
      <alignment horizontal="right"/>
    </xf>
    <xf numFmtId="166" fontId="14" fillId="0" borderId="1" xfId="2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9" fillId="0" borderId="0" xfId="0" applyFont="1" applyFill="1" applyAlignment="1"/>
    <xf numFmtId="0" fontId="40" fillId="0" borderId="0" xfId="0" applyFont="1" applyFill="1" applyAlignment="1">
      <alignment horizontal="left"/>
    </xf>
    <xf numFmtId="1" fontId="10" fillId="0" borderId="1" xfId="1" applyNumberFormat="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/>
    <xf numFmtId="166" fontId="2" fillId="0" borderId="0" xfId="1" applyNumberFormat="1" applyFont="1" applyFill="1"/>
    <xf numFmtId="166" fontId="34" fillId="0" borderId="0" xfId="1" applyNumberFormat="1" applyFont="1" applyFill="1"/>
    <xf numFmtId="0" fontId="4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166" fontId="2" fillId="0" borderId="1" xfId="2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166" fontId="14" fillId="0" borderId="1" xfId="1" applyNumberFormat="1" applyFont="1" applyFill="1" applyBorder="1" applyAlignment="1">
      <alignment horizontal="center" vertical="center"/>
    </xf>
    <xf numFmtId="170" fontId="4" fillId="0" borderId="1" xfId="10" applyNumberFormat="1" applyFont="1" applyFill="1" applyBorder="1" applyAlignment="1">
      <alignment horizontal="center" vertical="center" wrapText="1"/>
    </xf>
    <xf numFmtId="0" fontId="2" fillId="0" borderId="1" xfId="10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 vertical="center" wrapText="1"/>
    </xf>
    <xf numFmtId="0" fontId="28" fillId="0" borderId="1" xfId="10" applyFont="1" applyFill="1" applyBorder="1" applyAlignment="1">
      <alignment horizontal="left" wrapText="1"/>
    </xf>
    <xf numFmtId="0" fontId="2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66" fontId="16" fillId="0" borderId="1" xfId="3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0" fontId="17" fillId="0" borderId="1" xfId="10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right"/>
    </xf>
    <xf numFmtId="0" fontId="17" fillId="0" borderId="0" xfId="0" applyFont="1" applyFill="1" applyAlignment="1"/>
    <xf numFmtId="0" fontId="30" fillId="0" borderId="0" xfId="0" applyFont="1" applyFill="1"/>
    <xf numFmtId="0" fontId="29" fillId="0" borderId="0" xfId="0" applyFont="1" applyFill="1" applyBorder="1" applyAlignment="1"/>
    <xf numFmtId="0" fontId="40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3" fillId="0" borderId="0" xfId="10" applyFont="1" applyFill="1"/>
    <xf numFmtId="166" fontId="5" fillId="0" borderId="0" xfId="0" applyNumberFormat="1" applyFont="1" applyFill="1"/>
    <xf numFmtId="0" fontId="10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0" borderId="1" xfId="1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/>
    </xf>
    <xf numFmtId="166" fontId="4" fillId="2" borderId="1" xfId="0" applyNumberFormat="1" applyFont="1" applyFill="1" applyBorder="1" applyAlignment="1">
      <alignment horizontal="center" vertical="top" wrapText="1"/>
    </xf>
    <xf numFmtId="0" fontId="15" fillId="0" borderId="1" xfId="3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Border="1"/>
    <xf numFmtId="0" fontId="40" fillId="0" borderId="0" xfId="0" applyFont="1" applyFill="1" applyAlignment="1"/>
    <xf numFmtId="0" fontId="3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42" fillId="0" borderId="0" xfId="0" applyFont="1" applyFill="1" applyAlignment="1">
      <alignment horizontal="left"/>
    </xf>
    <xf numFmtId="0" fontId="40" fillId="0" borderId="0" xfId="0" applyFont="1" applyFill="1" applyBorder="1" applyAlignment="1">
      <alignment horizontal="left"/>
    </xf>
    <xf numFmtId="49" fontId="5" fillId="0" borderId="0" xfId="0" applyNumberFormat="1" applyFont="1" applyFill="1"/>
    <xf numFmtId="166" fontId="16" fillId="2" borderId="1" xfId="0" applyNumberFormat="1" applyFont="1" applyFill="1" applyBorder="1" applyAlignment="1">
      <alignment horizontal="center" vertical="center" wrapText="1"/>
    </xf>
    <xf numFmtId="0" fontId="17" fillId="0" borderId="1" xfId="10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top" wrapText="1"/>
    </xf>
    <xf numFmtId="166" fontId="36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6" fontId="14" fillId="0" borderId="1" xfId="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8" fillId="0" borderId="0" xfId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wrapText="1"/>
    </xf>
    <xf numFmtId="166" fontId="14" fillId="0" borderId="1" xfId="1" applyNumberFormat="1" applyFont="1" applyFill="1" applyBorder="1" applyAlignment="1">
      <alignment horizontal="center" vertical="center" wrapText="1"/>
    </xf>
    <xf numFmtId="10" fontId="4" fillId="0" borderId="1" xfId="1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/>
    <xf numFmtId="49" fontId="5" fillId="0" borderId="2" xfId="0" applyNumberFormat="1" applyFont="1" applyFill="1" applyBorder="1" applyAlignment="1">
      <alignment horizontal="center" vertical="center" wrapText="1"/>
    </xf>
    <xf numFmtId="0" fontId="44" fillId="2" borderId="0" xfId="20" applyFont="1" applyFill="1" applyAlignment="1">
      <alignment horizontal="right"/>
    </xf>
    <xf numFmtId="49" fontId="16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40" fillId="0" borderId="0" xfId="0" applyFont="1" applyFill="1" applyBorder="1" applyAlignment="1">
      <alignment horizontal="right"/>
    </xf>
    <xf numFmtId="0" fontId="32" fillId="0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0" fillId="0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17" fillId="0" borderId="1" xfId="1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8" fillId="0" borderId="1" xfId="10" applyFont="1" applyFill="1" applyBorder="1" applyAlignment="1">
      <alignment horizontal="left" vertical="top" wrapText="1"/>
    </xf>
  </cellXfs>
  <cellStyles count="21">
    <cellStyle name="Comma [0]" xfId="4"/>
    <cellStyle name="Comma [0] 2" xfId="18"/>
    <cellStyle name="Currency [0]" xfId="5"/>
    <cellStyle name="Normal_Sheet1" xfId="6"/>
    <cellStyle name="Гиперссылка" xfId="20" builtinId="8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  <cellStyle name="Финансовый 2 2" xfId="19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W97"/>
  <sheetViews>
    <sheetView view="pageBreakPreview" zoomScale="70" zoomScaleNormal="70" zoomScaleSheetLayoutView="70" zoomScalePageLayoutView="70" workbookViewId="0">
      <pane xSplit="13" ySplit="10" topLeftCell="N47" activePane="bottomRight" state="frozen"/>
      <selection pane="topRight" activeCell="N1" sqref="N1"/>
      <selection pane="bottomLeft" activeCell="A11" sqref="A11"/>
      <selection pane="bottomRight" activeCell="AA49" sqref="AA49"/>
    </sheetView>
  </sheetViews>
  <sheetFormatPr defaultColWidth="9.140625" defaultRowHeight="23.25" x14ac:dyDescent="0.35"/>
  <cols>
    <col min="1" max="1" width="7.85546875" style="36" customWidth="1"/>
    <col min="2" max="2" width="24.28515625" style="36" customWidth="1"/>
    <col min="3" max="3" width="18.7109375" style="36" customWidth="1"/>
    <col min="4" max="4" width="11" style="36" customWidth="1"/>
    <col min="5" max="5" width="11.28515625" style="36" customWidth="1"/>
    <col min="6" max="7" width="4.28515625" style="36" customWidth="1"/>
    <col min="8" max="8" width="10.140625" style="36" customWidth="1"/>
    <col min="9" max="9" width="11.42578125" style="35" customWidth="1"/>
    <col min="10" max="10" width="6.7109375" style="35" customWidth="1"/>
    <col min="11" max="11" width="10.140625" style="35" customWidth="1"/>
    <col min="12" max="12" width="6" style="36" customWidth="1"/>
    <col min="13" max="13" width="14.42578125" style="36" customWidth="1"/>
    <col min="14" max="14" width="12.28515625" style="35" customWidth="1"/>
    <col min="15" max="15" width="4.28515625" style="35" customWidth="1"/>
    <col min="16" max="16" width="9.28515625" style="35" customWidth="1"/>
    <col min="17" max="17" width="4.28515625" style="36" customWidth="1"/>
    <col min="18" max="18" width="5.28515625" style="36" customWidth="1"/>
    <col min="19" max="19" width="10.140625" style="36" customWidth="1"/>
    <col min="20" max="20" width="13" style="35" customWidth="1"/>
    <col min="21" max="21" width="17" style="36" customWidth="1"/>
    <col min="22" max="22" width="15.5703125" style="36" customWidth="1"/>
    <col min="23" max="23" width="8.28515625" style="36" customWidth="1"/>
    <col min="24" max="24" width="11.7109375" style="36" customWidth="1"/>
    <col min="25" max="25" width="14.28515625" style="69" customWidth="1"/>
    <col min="26" max="26" width="12.28515625" style="36" customWidth="1"/>
    <col min="27" max="27" width="27.85546875" style="36" customWidth="1"/>
    <col min="28" max="28" width="14.140625" style="36" customWidth="1"/>
    <col min="29" max="29" width="13.5703125" style="36" customWidth="1"/>
    <col min="30" max="30" width="20.5703125" style="91" customWidth="1"/>
    <col min="31" max="32" width="9.28515625" style="36" customWidth="1"/>
    <col min="33" max="33" width="9.7109375" style="36" customWidth="1"/>
    <col min="34" max="34" width="9.28515625" style="36" bestFit="1" customWidth="1"/>
    <col min="35" max="16384" width="9.140625" style="36"/>
  </cols>
  <sheetData>
    <row r="1" spans="1:34" x14ac:dyDescent="0.35">
      <c r="A1" s="222" t="s">
        <v>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</row>
    <row r="2" spans="1:34" ht="19.5" customHeight="1" x14ac:dyDescent="0.35">
      <c r="A2" s="222" t="s">
        <v>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</row>
    <row r="3" spans="1:34" ht="22.5" customHeight="1" x14ac:dyDescent="0.35">
      <c r="A3" s="222" t="s">
        <v>137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</row>
    <row r="4" spans="1:34" ht="25.5" customHeight="1" x14ac:dyDescent="0.35">
      <c r="A4" s="223" t="s">
        <v>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</row>
    <row r="5" spans="1:34" ht="22.5" customHeight="1" x14ac:dyDescent="0.35">
      <c r="A5" s="222" t="s">
        <v>473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</row>
    <row r="6" spans="1:34" ht="21.75" hidden="1" customHeight="1" x14ac:dyDescent="0.35">
      <c r="A6" s="224" t="s">
        <v>264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</row>
    <row r="7" spans="1:34" ht="0.75" hidden="1" customHeight="1" x14ac:dyDescent="0.35">
      <c r="B7" s="39"/>
      <c r="C7" s="26"/>
      <c r="D7" s="26"/>
      <c r="E7" s="26"/>
      <c r="F7" s="26"/>
      <c r="G7" s="26"/>
      <c r="H7" s="26"/>
      <c r="I7" s="66"/>
      <c r="J7" s="66"/>
      <c r="K7" s="66"/>
      <c r="L7" s="26"/>
      <c r="M7" s="26"/>
      <c r="N7" s="66"/>
      <c r="O7" s="66"/>
      <c r="P7" s="66"/>
      <c r="Q7" s="26"/>
      <c r="R7" s="59"/>
    </row>
    <row r="8" spans="1:34" ht="27.75" customHeight="1" x14ac:dyDescent="0.35">
      <c r="A8" s="228" t="s">
        <v>441</v>
      </c>
      <c r="B8" s="227" t="s">
        <v>23</v>
      </c>
      <c r="C8" s="227" t="s">
        <v>7</v>
      </c>
      <c r="D8" s="226" t="s">
        <v>19</v>
      </c>
      <c r="E8" s="226"/>
      <c r="F8" s="226"/>
      <c r="G8" s="226"/>
      <c r="H8" s="226"/>
      <c r="I8" s="226" t="s">
        <v>24</v>
      </c>
      <c r="J8" s="226"/>
      <c r="K8" s="226"/>
      <c r="L8" s="226"/>
      <c r="M8" s="226"/>
      <c r="N8" s="226" t="s">
        <v>18</v>
      </c>
      <c r="O8" s="226"/>
      <c r="P8" s="226"/>
      <c r="Q8" s="226"/>
      <c r="R8" s="226"/>
      <c r="S8" s="226"/>
      <c r="T8" s="229" t="s">
        <v>442</v>
      </c>
      <c r="U8" s="225" t="s">
        <v>474</v>
      </c>
      <c r="V8" s="226" t="s">
        <v>11</v>
      </c>
      <c r="W8" s="226"/>
      <c r="X8" s="226"/>
      <c r="Y8" s="226"/>
      <c r="Z8" s="225" t="s">
        <v>443</v>
      </c>
      <c r="AA8" s="225" t="s">
        <v>444</v>
      </c>
    </row>
    <row r="9" spans="1:34" ht="42" customHeight="1" x14ac:dyDescent="0.35">
      <c r="A9" s="228"/>
      <c r="B9" s="227"/>
      <c r="C9" s="227"/>
      <c r="D9" s="226"/>
      <c r="E9" s="226"/>
      <c r="F9" s="226"/>
      <c r="G9" s="226"/>
      <c r="H9" s="226"/>
      <c r="I9" s="226" t="s">
        <v>27</v>
      </c>
      <c r="J9" s="226"/>
      <c r="K9" s="226"/>
      <c r="L9" s="226"/>
      <c r="M9" s="183" t="s">
        <v>20</v>
      </c>
      <c r="N9" s="226"/>
      <c r="O9" s="226"/>
      <c r="P9" s="226"/>
      <c r="Q9" s="226"/>
      <c r="R9" s="226"/>
      <c r="S9" s="226"/>
      <c r="T9" s="229"/>
      <c r="U9" s="225"/>
      <c r="V9" s="226"/>
      <c r="W9" s="226"/>
      <c r="X9" s="226"/>
      <c r="Y9" s="226"/>
      <c r="Z9" s="225"/>
      <c r="AA9" s="225"/>
    </row>
    <row r="10" spans="1:34" ht="99.75" customHeight="1" x14ac:dyDescent="0.35">
      <c r="A10" s="228"/>
      <c r="B10" s="227"/>
      <c r="C10" s="227"/>
      <c r="D10" s="41" t="s">
        <v>21</v>
      </c>
      <c r="E10" s="41" t="s">
        <v>0</v>
      </c>
      <c r="F10" s="40" t="s">
        <v>0</v>
      </c>
      <c r="G10" s="41" t="s">
        <v>1</v>
      </c>
      <c r="H10" s="41" t="s">
        <v>22</v>
      </c>
      <c r="I10" s="111" t="s">
        <v>21</v>
      </c>
      <c r="J10" s="112" t="s">
        <v>21</v>
      </c>
      <c r="K10" s="111" t="s">
        <v>0</v>
      </c>
      <c r="L10" s="40" t="s">
        <v>0</v>
      </c>
      <c r="M10" s="41" t="s">
        <v>1</v>
      </c>
      <c r="N10" s="111" t="s">
        <v>21</v>
      </c>
      <c r="O10" s="112" t="s">
        <v>21</v>
      </c>
      <c r="P10" s="111" t="s">
        <v>0</v>
      </c>
      <c r="Q10" s="40" t="s">
        <v>0</v>
      </c>
      <c r="R10" s="41" t="s">
        <v>1</v>
      </c>
      <c r="S10" s="41" t="s">
        <v>22</v>
      </c>
      <c r="T10" s="229"/>
      <c r="U10" s="225"/>
      <c r="V10" s="41" t="s">
        <v>14</v>
      </c>
      <c r="W10" s="41" t="s">
        <v>15</v>
      </c>
      <c r="X10" s="41" t="s">
        <v>16</v>
      </c>
      <c r="Y10" s="111" t="s">
        <v>17</v>
      </c>
      <c r="Z10" s="225"/>
      <c r="AA10" s="225"/>
      <c r="AB10" s="42"/>
    </row>
    <row r="11" spans="1:34" x14ac:dyDescent="0.35">
      <c r="A11" s="3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6</v>
      </c>
      <c r="G11" s="37">
        <v>7</v>
      </c>
      <c r="H11" s="37">
        <v>8</v>
      </c>
      <c r="I11" s="73">
        <v>9</v>
      </c>
      <c r="J11" s="73">
        <v>10</v>
      </c>
      <c r="K11" s="73">
        <v>11</v>
      </c>
      <c r="L11" s="37">
        <v>12</v>
      </c>
      <c r="M11" s="37">
        <v>13</v>
      </c>
      <c r="N11" s="73">
        <v>14</v>
      </c>
      <c r="O11" s="73">
        <v>15</v>
      </c>
      <c r="P11" s="73">
        <v>16</v>
      </c>
      <c r="Q11" s="37">
        <v>17</v>
      </c>
      <c r="R11" s="37">
        <v>18</v>
      </c>
      <c r="S11" s="37">
        <v>19</v>
      </c>
      <c r="T11" s="73">
        <v>20</v>
      </c>
      <c r="U11" s="37">
        <v>21</v>
      </c>
      <c r="V11" s="37">
        <v>22</v>
      </c>
      <c r="W11" s="37">
        <v>23</v>
      </c>
      <c r="X11" s="37">
        <v>24</v>
      </c>
      <c r="Y11" s="73">
        <v>25</v>
      </c>
      <c r="Z11" s="37">
        <v>31</v>
      </c>
      <c r="AA11" s="37">
        <v>32</v>
      </c>
    </row>
    <row r="12" spans="1:34" s="44" customFormat="1" ht="49.5" customHeight="1" x14ac:dyDescent="0.35">
      <c r="A12" s="43"/>
      <c r="B12" s="174" t="s">
        <v>28</v>
      </c>
      <c r="C12" s="175"/>
      <c r="D12" s="113">
        <f t="shared" ref="D12:T12" si="0">D75+D13+D47</f>
        <v>3804162.4000000004</v>
      </c>
      <c r="E12" s="113">
        <f t="shared" si="0"/>
        <v>860404.6</v>
      </c>
      <c r="F12" s="113">
        <f t="shared" si="0"/>
        <v>0</v>
      </c>
      <c r="G12" s="113">
        <f t="shared" si="0"/>
        <v>0</v>
      </c>
      <c r="H12" s="113">
        <f t="shared" si="0"/>
        <v>301541.90000000002</v>
      </c>
      <c r="I12" s="113">
        <f t="shared" si="0"/>
        <v>5278531.3999999994</v>
      </c>
      <c r="J12" s="113">
        <f t="shared" si="0"/>
        <v>0</v>
      </c>
      <c r="K12" s="113">
        <f t="shared" si="0"/>
        <v>860404.6</v>
      </c>
      <c r="L12" s="113">
        <f t="shared" si="0"/>
        <v>0</v>
      </c>
      <c r="M12" s="113">
        <f t="shared" si="0"/>
        <v>0</v>
      </c>
      <c r="N12" s="113">
        <f t="shared" si="0"/>
        <v>4526135.5</v>
      </c>
      <c r="O12" s="113">
        <f t="shared" si="0"/>
        <v>0</v>
      </c>
      <c r="P12" s="113">
        <f t="shared" si="0"/>
        <v>526891</v>
      </c>
      <c r="Q12" s="113">
        <f t="shared" si="0"/>
        <v>0</v>
      </c>
      <c r="R12" s="113">
        <f t="shared" si="0"/>
        <v>0</v>
      </c>
      <c r="S12" s="113">
        <f t="shared" si="0"/>
        <v>0</v>
      </c>
      <c r="T12" s="113">
        <f t="shared" si="0"/>
        <v>682337.70000000007</v>
      </c>
      <c r="U12" s="71"/>
      <c r="V12" s="81" t="s">
        <v>10</v>
      </c>
      <c r="W12" s="81" t="s">
        <v>10</v>
      </c>
      <c r="X12" s="81" t="s">
        <v>10</v>
      </c>
      <c r="Y12" s="81" t="s">
        <v>10</v>
      </c>
      <c r="Z12" s="81" t="s">
        <v>10</v>
      </c>
      <c r="AA12" s="81" t="s">
        <v>10</v>
      </c>
      <c r="AD12" s="92"/>
    </row>
    <row r="13" spans="1:34" s="44" customFormat="1" ht="61.5" customHeight="1" x14ac:dyDescent="0.35">
      <c r="A13" s="45"/>
      <c r="B13" s="176" t="s">
        <v>34</v>
      </c>
      <c r="C13" s="177"/>
      <c r="D13" s="114">
        <f t="shared" ref="D13:N13" si="1">SUM(D14:D46)</f>
        <v>3803744.4000000004</v>
      </c>
      <c r="E13" s="114">
        <f t="shared" si="1"/>
        <v>857682.6</v>
      </c>
      <c r="F13" s="114">
        <f t="shared" si="1"/>
        <v>0</v>
      </c>
      <c r="G13" s="114">
        <f t="shared" si="1"/>
        <v>0</v>
      </c>
      <c r="H13" s="114">
        <f t="shared" si="1"/>
        <v>0</v>
      </c>
      <c r="I13" s="114">
        <f t="shared" si="1"/>
        <v>5278113.3999999994</v>
      </c>
      <c r="J13" s="114">
        <f t="shared" si="1"/>
        <v>0</v>
      </c>
      <c r="K13" s="114">
        <f t="shared" si="1"/>
        <v>857682.6</v>
      </c>
      <c r="L13" s="114">
        <f t="shared" si="1"/>
        <v>0</v>
      </c>
      <c r="M13" s="114">
        <f t="shared" si="1"/>
        <v>0</v>
      </c>
      <c r="N13" s="114">
        <f t="shared" si="1"/>
        <v>4526092</v>
      </c>
      <c r="O13" s="114">
        <f>O14+O15+O16+O17+O18+O19+O20+O22+O23+O24+O26+O27+O28+O29+O30+O31+O32+O33+O34+O35+O36+O37+O38+O39+O40+O41+O42+O43+O44+O45+O46</f>
        <v>0</v>
      </c>
      <c r="P13" s="114">
        <f>SUM(P14:P46)</f>
        <v>525335.5</v>
      </c>
      <c r="Q13" s="114">
        <f t="shared" ref="Q13:T13" si="2">SUM(Q14:Q46)</f>
        <v>0</v>
      </c>
      <c r="R13" s="114">
        <f t="shared" si="2"/>
        <v>0</v>
      </c>
      <c r="S13" s="114">
        <f t="shared" si="2"/>
        <v>0</v>
      </c>
      <c r="T13" s="114">
        <f t="shared" si="2"/>
        <v>681262.6</v>
      </c>
      <c r="U13" s="71"/>
      <c r="V13" s="81" t="s">
        <v>10</v>
      </c>
      <c r="W13" s="81" t="s">
        <v>10</v>
      </c>
      <c r="X13" s="81" t="s">
        <v>10</v>
      </c>
      <c r="Y13" s="81" t="s">
        <v>10</v>
      </c>
      <c r="Z13" s="81" t="s">
        <v>10</v>
      </c>
      <c r="AA13" s="81" t="s">
        <v>10</v>
      </c>
      <c r="AC13" s="46"/>
      <c r="AD13" s="92"/>
    </row>
    <row r="14" spans="1:34" s="44" customFormat="1" ht="79.5" customHeight="1" x14ac:dyDescent="0.35">
      <c r="A14" s="45" t="s">
        <v>30</v>
      </c>
      <c r="B14" s="77" t="s">
        <v>35</v>
      </c>
      <c r="C14" s="78" t="s">
        <v>140</v>
      </c>
      <c r="D14" s="71">
        <v>0</v>
      </c>
      <c r="E14" s="71">
        <v>2892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2892</v>
      </c>
      <c r="L14" s="71">
        <v>0</v>
      </c>
      <c r="M14" s="71">
        <v>0</v>
      </c>
      <c r="N14" s="71">
        <v>0</v>
      </c>
      <c r="O14" s="71">
        <v>0</v>
      </c>
      <c r="P14" s="71">
        <v>1956.9</v>
      </c>
      <c r="Q14" s="71">
        <v>0</v>
      </c>
      <c r="R14" s="71">
        <v>0</v>
      </c>
      <c r="S14" s="71">
        <v>0</v>
      </c>
      <c r="T14" s="71">
        <v>2044.5</v>
      </c>
      <c r="U14" s="79"/>
      <c r="V14" s="79" t="s">
        <v>142</v>
      </c>
      <c r="W14" s="79" t="s">
        <v>143</v>
      </c>
      <c r="X14" s="79">
        <v>178</v>
      </c>
      <c r="Y14" s="81">
        <v>116.1</v>
      </c>
      <c r="Z14" s="80" t="s">
        <v>205</v>
      </c>
      <c r="AA14" s="80" t="s">
        <v>392</v>
      </c>
      <c r="AC14" s="46"/>
      <c r="AD14" s="93">
        <f>I14+K14-N14-P14</f>
        <v>935.09999999999991</v>
      </c>
      <c r="AF14" s="46"/>
      <c r="AH14" s="46"/>
    </row>
    <row r="15" spans="1:34" s="44" customFormat="1" ht="81" customHeight="1" x14ac:dyDescent="0.35">
      <c r="A15" s="47" t="s">
        <v>31</v>
      </c>
      <c r="B15" s="77" t="s">
        <v>81</v>
      </c>
      <c r="C15" s="78" t="s">
        <v>140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2"/>
      <c r="V15" s="79" t="s">
        <v>145</v>
      </c>
      <c r="W15" s="79" t="s">
        <v>144</v>
      </c>
      <c r="X15" s="79">
        <v>250</v>
      </c>
      <c r="Y15" s="81">
        <v>197.1</v>
      </c>
      <c r="Z15" s="80" t="s">
        <v>205</v>
      </c>
      <c r="AA15" s="80" t="s">
        <v>392</v>
      </c>
      <c r="AC15" s="46">
        <f>6137317+250+1369</f>
        <v>6138936</v>
      </c>
      <c r="AD15" s="93">
        <f t="shared" ref="AD15:AD80" si="3">I15+K15-N15-P15</f>
        <v>0</v>
      </c>
      <c r="AF15" s="46"/>
      <c r="AH15" s="46"/>
    </row>
    <row r="16" spans="1:34" s="44" customFormat="1" ht="69.75" customHeight="1" x14ac:dyDescent="0.35">
      <c r="A16" s="47" t="s">
        <v>32</v>
      </c>
      <c r="B16" s="77" t="s">
        <v>82</v>
      </c>
      <c r="C16" s="78" t="s">
        <v>140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2"/>
      <c r="V16" s="79" t="s">
        <v>146</v>
      </c>
      <c r="W16" s="79" t="s">
        <v>143</v>
      </c>
      <c r="X16" s="79">
        <v>110</v>
      </c>
      <c r="Y16" s="81">
        <v>67</v>
      </c>
      <c r="Z16" s="80" t="s">
        <v>205</v>
      </c>
      <c r="AA16" s="80" t="s">
        <v>392</v>
      </c>
      <c r="AC16" s="46"/>
      <c r="AD16" s="93">
        <f t="shared" si="3"/>
        <v>0</v>
      </c>
      <c r="AF16" s="46"/>
      <c r="AH16" s="46"/>
    </row>
    <row r="17" spans="1:34" s="44" customFormat="1" ht="86.25" customHeight="1" x14ac:dyDescent="0.35">
      <c r="A17" s="47" t="s">
        <v>33</v>
      </c>
      <c r="B17" s="77" t="s">
        <v>83</v>
      </c>
      <c r="C17" s="78" t="s">
        <v>140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2"/>
      <c r="V17" s="79" t="s">
        <v>147</v>
      </c>
      <c r="W17" s="79" t="s">
        <v>148</v>
      </c>
      <c r="X17" s="79" t="s">
        <v>149</v>
      </c>
      <c r="Y17" s="81" t="s">
        <v>451</v>
      </c>
      <c r="Z17" s="80" t="s">
        <v>205</v>
      </c>
      <c r="AA17" s="80" t="s">
        <v>392</v>
      </c>
      <c r="AC17" s="46"/>
      <c r="AD17" s="93">
        <f t="shared" si="3"/>
        <v>0</v>
      </c>
      <c r="AF17" s="46"/>
      <c r="AH17" s="46"/>
    </row>
    <row r="18" spans="1:34" s="44" customFormat="1" ht="138.75" customHeight="1" x14ac:dyDescent="0.35">
      <c r="A18" s="45" t="s">
        <v>36</v>
      </c>
      <c r="B18" s="77" t="s">
        <v>37</v>
      </c>
      <c r="C18" s="78" t="s">
        <v>140</v>
      </c>
      <c r="D18" s="71">
        <v>0</v>
      </c>
      <c r="E18" s="71">
        <v>1635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1635</v>
      </c>
      <c r="L18" s="71">
        <v>0</v>
      </c>
      <c r="M18" s="71">
        <v>0</v>
      </c>
      <c r="N18" s="71">
        <v>0</v>
      </c>
      <c r="O18" s="71">
        <v>0</v>
      </c>
      <c r="P18" s="71">
        <v>611.5</v>
      </c>
      <c r="Q18" s="71">
        <v>0</v>
      </c>
      <c r="R18" s="71">
        <v>0</v>
      </c>
      <c r="S18" s="71">
        <v>0</v>
      </c>
      <c r="T18" s="71">
        <v>611.5</v>
      </c>
      <c r="U18" s="79"/>
      <c r="V18" s="79" t="s">
        <v>142</v>
      </c>
      <c r="W18" s="79" t="s">
        <v>105</v>
      </c>
      <c r="X18" s="102">
        <v>118</v>
      </c>
      <c r="Y18" s="118">
        <v>113</v>
      </c>
      <c r="Z18" s="80" t="s">
        <v>205</v>
      </c>
      <c r="AA18" s="80" t="s">
        <v>392</v>
      </c>
      <c r="AC18" s="46"/>
      <c r="AD18" s="93">
        <f t="shared" si="3"/>
        <v>1023.5</v>
      </c>
      <c r="AF18" s="46"/>
      <c r="AH18" s="46"/>
    </row>
    <row r="19" spans="1:34" s="44" customFormat="1" ht="68.25" customHeight="1" x14ac:dyDescent="0.35">
      <c r="A19" s="45" t="s">
        <v>38</v>
      </c>
      <c r="B19" s="77" t="s">
        <v>39</v>
      </c>
      <c r="C19" s="78" t="s">
        <v>140</v>
      </c>
      <c r="D19" s="71">
        <v>0</v>
      </c>
      <c r="E19" s="71">
        <v>2896.4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2896.4</v>
      </c>
      <c r="L19" s="71">
        <v>0</v>
      </c>
      <c r="M19" s="71">
        <v>0</v>
      </c>
      <c r="N19" s="71">
        <v>0</v>
      </c>
      <c r="O19" s="71">
        <v>0</v>
      </c>
      <c r="P19" s="71">
        <v>1665.9</v>
      </c>
      <c r="Q19" s="71">
        <v>0</v>
      </c>
      <c r="R19" s="71">
        <v>0</v>
      </c>
      <c r="S19" s="71">
        <v>0</v>
      </c>
      <c r="T19" s="71">
        <v>1776.4</v>
      </c>
      <c r="U19" s="72"/>
      <c r="V19" s="79" t="s">
        <v>150</v>
      </c>
      <c r="W19" s="79" t="s">
        <v>143</v>
      </c>
      <c r="X19" s="79">
        <v>115</v>
      </c>
      <c r="Y19" s="81">
        <v>32.299999999999997</v>
      </c>
      <c r="Z19" s="80" t="s">
        <v>205</v>
      </c>
      <c r="AA19" s="80" t="s">
        <v>392</v>
      </c>
      <c r="AC19" s="46"/>
      <c r="AD19" s="93">
        <f t="shared" si="3"/>
        <v>1230.5</v>
      </c>
      <c r="AF19" s="46"/>
      <c r="AH19" s="46"/>
    </row>
    <row r="20" spans="1:34" s="44" customFormat="1" ht="117" customHeight="1" x14ac:dyDescent="0.35">
      <c r="A20" s="45" t="s">
        <v>40</v>
      </c>
      <c r="B20" s="77" t="s">
        <v>41</v>
      </c>
      <c r="C20" s="78" t="s">
        <v>140</v>
      </c>
      <c r="D20" s="71">
        <v>0</v>
      </c>
      <c r="E20" s="71">
        <v>8159.6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8159.6</v>
      </c>
      <c r="L20" s="71">
        <v>0</v>
      </c>
      <c r="M20" s="71">
        <v>0</v>
      </c>
      <c r="N20" s="71">
        <v>0</v>
      </c>
      <c r="O20" s="71">
        <v>0</v>
      </c>
      <c r="P20" s="71">
        <v>5191.7</v>
      </c>
      <c r="Q20" s="71">
        <v>0</v>
      </c>
      <c r="R20" s="71">
        <v>0</v>
      </c>
      <c r="S20" s="71">
        <v>0</v>
      </c>
      <c r="T20" s="71">
        <v>5195.8999999999996</v>
      </c>
      <c r="U20" s="79"/>
      <c r="V20" s="79" t="s">
        <v>142</v>
      </c>
      <c r="W20" s="79" t="s">
        <v>105</v>
      </c>
      <c r="X20" s="102">
        <v>5300</v>
      </c>
      <c r="Y20" s="118">
        <v>3449</v>
      </c>
      <c r="Z20" s="80" t="s">
        <v>205</v>
      </c>
      <c r="AA20" s="80" t="s">
        <v>393</v>
      </c>
      <c r="AC20" s="46"/>
      <c r="AD20" s="93">
        <f t="shared" si="3"/>
        <v>2967.9000000000005</v>
      </c>
      <c r="AF20" s="46"/>
      <c r="AH20" s="46"/>
    </row>
    <row r="21" spans="1:34" s="44" customFormat="1" ht="213.75" customHeight="1" x14ac:dyDescent="0.35">
      <c r="A21" s="45" t="s">
        <v>42</v>
      </c>
      <c r="B21" s="77" t="s">
        <v>43</v>
      </c>
      <c r="C21" s="78" t="s">
        <v>140</v>
      </c>
      <c r="D21" s="71">
        <v>0</v>
      </c>
      <c r="E21" s="71">
        <v>29009</v>
      </c>
      <c r="F21" s="71">
        <v>0</v>
      </c>
      <c r="G21" s="71">
        <v>0</v>
      </c>
      <c r="H21" s="71">
        <v>0</v>
      </c>
      <c r="I21" s="71">
        <v>0</v>
      </c>
      <c r="J21" s="71"/>
      <c r="K21" s="71">
        <v>29009</v>
      </c>
      <c r="L21" s="71">
        <v>0</v>
      </c>
      <c r="M21" s="71">
        <v>0</v>
      </c>
      <c r="N21" s="71">
        <v>0</v>
      </c>
      <c r="O21" s="71">
        <v>0</v>
      </c>
      <c r="P21" s="71">
        <v>16051.8</v>
      </c>
      <c r="Q21" s="71">
        <v>0</v>
      </c>
      <c r="R21" s="71">
        <v>0</v>
      </c>
      <c r="S21" s="71">
        <v>0</v>
      </c>
      <c r="T21" s="71">
        <v>16138.1</v>
      </c>
      <c r="U21" s="79"/>
      <c r="V21" s="79" t="s">
        <v>142</v>
      </c>
      <c r="W21" s="79" t="s">
        <v>105</v>
      </c>
      <c r="X21" s="102" t="s">
        <v>384</v>
      </c>
      <c r="Y21" s="81" t="s">
        <v>452</v>
      </c>
      <c r="Z21" s="80" t="s">
        <v>205</v>
      </c>
      <c r="AA21" s="80" t="s">
        <v>392</v>
      </c>
      <c r="AC21" s="46"/>
      <c r="AD21" s="93"/>
      <c r="AF21" s="46"/>
      <c r="AH21" s="46"/>
    </row>
    <row r="22" spans="1:34" s="44" customFormat="1" ht="409.5" customHeight="1" x14ac:dyDescent="0.35">
      <c r="A22" s="45" t="s">
        <v>224</v>
      </c>
      <c r="B22" s="77" t="s">
        <v>314</v>
      </c>
      <c r="C22" s="78" t="s">
        <v>140</v>
      </c>
      <c r="D22" s="71">
        <v>0</v>
      </c>
      <c r="E22" s="71">
        <v>44049.5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44049.5</v>
      </c>
      <c r="L22" s="71">
        <v>0</v>
      </c>
      <c r="M22" s="71">
        <v>0</v>
      </c>
      <c r="N22" s="71">
        <v>0</v>
      </c>
      <c r="O22" s="71">
        <v>0</v>
      </c>
      <c r="P22" s="71">
        <v>24990.7</v>
      </c>
      <c r="Q22" s="71">
        <v>0</v>
      </c>
      <c r="R22" s="71">
        <v>0</v>
      </c>
      <c r="S22" s="71">
        <v>0</v>
      </c>
      <c r="T22" s="71">
        <v>24990.7</v>
      </c>
      <c r="U22" s="79"/>
      <c r="V22" s="79" t="s">
        <v>142</v>
      </c>
      <c r="W22" s="79" t="s">
        <v>105</v>
      </c>
      <c r="X22" s="178" t="s">
        <v>410</v>
      </c>
      <c r="Y22" s="173" t="s">
        <v>453</v>
      </c>
      <c r="Z22" s="80" t="s">
        <v>205</v>
      </c>
      <c r="AA22" s="80" t="s">
        <v>392</v>
      </c>
      <c r="AC22" s="46"/>
      <c r="AD22" s="93"/>
      <c r="AF22" s="46"/>
      <c r="AH22" s="46"/>
    </row>
    <row r="23" spans="1:34" s="103" customFormat="1" ht="102" x14ac:dyDescent="0.35">
      <c r="A23" s="132" t="s">
        <v>84</v>
      </c>
      <c r="B23" s="133" t="s">
        <v>357</v>
      </c>
      <c r="C23" s="78" t="s">
        <v>140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81"/>
      <c r="V23" s="135" t="s">
        <v>151</v>
      </c>
      <c r="W23" s="135" t="s">
        <v>100</v>
      </c>
      <c r="X23" s="136">
        <v>5350</v>
      </c>
      <c r="Y23" s="211">
        <v>7464</v>
      </c>
      <c r="Z23" s="137" t="s">
        <v>254</v>
      </c>
      <c r="AA23" s="80"/>
      <c r="AC23" s="128"/>
      <c r="AD23" s="129">
        <f t="shared" si="3"/>
        <v>0</v>
      </c>
      <c r="AF23" s="128"/>
      <c r="AH23" s="128"/>
    </row>
    <row r="24" spans="1:34" s="44" customFormat="1" ht="167.25" customHeight="1" x14ac:dyDescent="0.35">
      <c r="A24" s="47" t="s">
        <v>244</v>
      </c>
      <c r="B24" s="77" t="s">
        <v>251</v>
      </c>
      <c r="C24" s="78" t="s">
        <v>140</v>
      </c>
      <c r="D24" s="71">
        <v>2887.7</v>
      </c>
      <c r="E24" s="71">
        <v>6876</v>
      </c>
      <c r="F24" s="71">
        <v>0</v>
      </c>
      <c r="G24" s="71">
        <v>0</v>
      </c>
      <c r="H24" s="71">
        <v>0</v>
      </c>
      <c r="I24" s="71">
        <v>2887.7</v>
      </c>
      <c r="J24" s="71">
        <v>0</v>
      </c>
      <c r="K24" s="71">
        <v>6876</v>
      </c>
      <c r="L24" s="71">
        <v>0</v>
      </c>
      <c r="M24" s="71">
        <v>0</v>
      </c>
      <c r="N24" s="71">
        <v>3030</v>
      </c>
      <c r="O24" s="71">
        <v>0</v>
      </c>
      <c r="P24" s="71">
        <v>126.3</v>
      </c>
      <c r="Q24" s="71">
        <v>0</v>
      </c>
      <c r="R24" s="71">
        <v>0</v>
      </c>
      <c r="S24" s="71">
        <v>0</v>
      </c>
      <c r="T24" s="71">
        <v>3374.3</v>
      </c>
      <c r="U24" s="79"/>
      <c r="V24" s="79" t="s">
        <v>463</v>
      </c>
      <c r="W24" s="79" t="s">
        <v>100</v>
      </c>
      <c r="X24" s="102">
        <v>1</v>
      </c>
      <c r="Y24" s="118">
        <v>0</v>
      </c>
      <c r="Z24" s="80" t="s">
        <v>205</v>
      </c>
      <c r="AA24" s="80" t="s">
        <v>392</v>
      </c>
      <c r="AC24" s="46"/>
      <c r="AD24" s="93">
        <f t="shared" si="3"/>
        <v>6607.4000000000005</v>
      </c>
      <c r="AF24" s="46"/>
      <c r="AH24" s="46"/>
    </row>
    <row r="25" spans="1:34" s="44" customFormat="1" ht="246" customHeight="1" x14ac:dyDescent="0.35">
      <c r="A25" s="47" t="s">
        <v>449</v>
      </c>
      <c r="B25" s="200" t="s">
        <v>450</v>
      </c>
      <c r="C25" s="78" t="s">
        <v>140</v>
      </c>
      <c r="D25" s="71">
        <v>132165.4</v>
      </c>
      <c r="E25" s="71">
        <v>1335.1</v>
      </c>
      <c r="F25" s="71">
        <v>0</v>
      </c>
      <c r="G25" s="71">
        <v>0</v>
      </c>
      <c r="H25" s="71">
        <v>0</v>
      </c>
      <c r="I25" s="71">
        <v>132165.4</v>
      </c>
      <c r="J25" s="71">
        <v>0</v>
      </c>
      <c r="K25" s="71">
        <v>1335.1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9"/>
      <c r="V25" s="79" t="s">
        <v>454</v>
      </c>
      <c r="W25" s="79" t="s">
        <v>105</v>
      </c>
      <c r="X25" s="102">
        <v>2822</v>
      </c>
      <c r="Y25" s="118">
        <v>0</v>
      </c>
      <c r="Z25" s="80" t="s">
        <v>205</v>
      </c>
      <c r="AA25" s="80" t="s">
        <v>455</v>
      </c>
      <c r="AC25" s="46"/>
      <c r="AD25" s="93"/>
      <c r="AF25" s="46"/>
      <c r="AH25" s="46"/>
    </row>
    <row r="26" spans="1:34" s="44" customFormat="1" ht="160.5" customHeight="1" x14ac:dyDescent="0.35">
      <c r="A26" s="45" t="s">
        <v>44</v>
      </c>
      <c r="B26" s="77" t="s">
        <v>45</v>
      </c>
      <c r="C26" s="78" t="s">
        <v>140</v>
      </c>
      <c r="D26" s="71">
        <v>0</v>
      </c>
      <c r="E26" s="71">
        <v>1665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1665</v>
      </c>
      <c r="L26" s="71">
        <v>0</v>
      </c>
      <c r="M26" s="71">
        <v>0</v>
      </c>
      <c r="N26" s="71">
        <v>0</v>
      </c>
      <c r="O26" s="71">
        <v>0</v>
      </c>
      <c r="P26" s="71">
        <v>1056.9000000000001</v>
      </c>
      <c r="Q26" s="71">
        <v>0</v>
      </c>
      <c r="R26" s="71">
        <v>0</v>
      </c>
      <c r="S26" s="71">
        <v>0</v>
      </c>
      <c r="T26" s="71">
        <v>1132.3</v>
      </c>
      <c r="U26" s="79"/>
      <c r="V26" s="79" t="s">
        <v>152</v>
      </c>
      <c r="W26" s="79" t="s">
        <v>143</v>
      </c>
      <c r="X26" s="79">
        <v>225.5</v>
      </c>
      <c r="Y26" s="81">
        <v>103.1</v>
      </c>
      <c r="Z26" s="80" t="s">
        <v>205</v>
      </c>
      <c r="AA26" s="80" t="s">
        <v>392</v>
      </c>
      <c r="AC26" s="46"/>
      <c r="AD26" s="93">
        <f t="shared" si="3"/>
        <v>608.09999999999991</v>
      </c>
      <c r="AF26" s="46"/>
      <c r="AH26" s="46"/>
    </row>
    <row r="27" spans="1:34" s="44" customFormat="1" ht="106.5" customHeight="1" x14ac:dyDescent="0.35">
      <c r="A27" s="45" t="s">
        <v>46</v>
      </c>
      <c r="B27" s="77" t="s">
        <v>47</v>
      </c>
      <c r="C27" s="78" t="s">
        <v>140</v>
      </c>
      <c r="D27" s="71">
        <v>0</v>
      </c>
      <c r="E27" s="71">
        <v>730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730</v>
      </c>
      <c r="L27" s="71">
        <v>0</v>
      </c>
      <c r="M27" s="71">
        <v>0</v>
      </c>
      <c r="N27" s="71">
        <v>0</v>
      </c>
      <c r="O27" s="71">
        <v>0</v>
      </c>
      <c r="P27" s="71">
        <v>328.3</v>
      </c>
      <c r="Q27" s="71">
        <v>0</v>
      </c>
      <c r="R27" s="71">
        <v>0</v>
      </c>
      <c r="S27" s="71">
        <v>0</v>
      </c>
      <c r="T27" s="71">
        <v>376.6</v>
      </c>
      <c r="U27" s="79"/>
      <c r="V27" s="79" t="s">
        <v>142</v>
      </c>
      <c r="W27" s="79" t="s">
        <v>143</v>
      </c>
      <c r="X27" s="79">
        <v>3.9</v>
      </c>
      <c r="Y27" s="81">
        <v>4.4000000000000004</v>
      </c>
      <c r="Z27" s="80" t="s">
        <v>205</v>
      </c>
      <c r="AA27" s="80" t="s">
        <v>392</v>
      </c>
      <c r="AC27" s="46"/>
      <c r="AD27" s="93">
        <f t="shared" si="3"/>
        <v>401.7</v>
      </c>
      <c r="AF27" s="46"/>
      <c r="AH27" s="46"/>
    </row>
    <row r="28" spans="1:34" s="44" customFormat="1" ht="63.75" x14ac:dyDescent="0.35">
      <c r="A28" s="45" t="s">
        <v>48</v>
      </c>
      <c r="B28" s="77" t="s">
        <v>49</v>
      </c>
      <c r="C28" s="78" t="s">
        <v>140</v>
      </c>
      <c r="D28" s="71">
        <v>0</v>
      </c>
      <c r="E28" s="71">
        <v>269.3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269.3</v>
      </c>
      <c r="L28" s="71">
        <v>0</v>
      </c>
      <c r="M28" s="71">
        <v>0</v>
      </c>
      <c r="N28" s="71">
        <v>0</v>
      </c>
      <c r="O28" s="71">
        <v>0</v>
      </c>
      <c r="P28" s="71">
        <v>138</v>
      </c>
      <c r="Q28" s="71">
        <v>0</v>
      </c>
      <c r="R28" s="71">
        <v>0</v>
      </c>
      <c r="S28" s="71">
        <v>0</v>
      </c>
      <c r="T28" s="71">
        <v>153.5</v>
      </c>
      <c r="U28" s="81"/>
      <c r="V28" s="79" t="s">
        <v>142</v>
      </c>
      <c r="W28" s="79" t="s">
        <v>143</v>
      </c>
      <c r="X28" s="79">
        <v>3.9</v>
      </c>
      <c r="Y28" s="81">
        <v>4</v>
      </c>
      <c r="Z28" s="80" t="s">
        <v>205</v>
      </c>
      <c r="AA28" s="80" t="s">
        <v>392</v>
      </c>
      <c r="AC28" s="46"/>
      <c r="AD28" s="93">
        <f t="shared" si="3"/>
        <v>131.30000000000001</v>
      </c>
      <c r="AF28" s="46"/>
      <c r="AH28" s="46"/>
    </row>
    <row r="29" spans="1:34" s="44" customFormat="1" ht="122.25" customHeight="1" x14ac:dyDescent="0.35">
      <c r="A29" s="45" t="s">
        <v>50</v>
      </c>
      <c r="B29" s="77" t="s">
        <v>51</v>
      </c>
      <c r="C29" s="78" t="s">
        <v>140</v>
      </c>
      <c r="D29" s="71">
        <v>0</v>
      </c>
      <c r="E29" s="71">
        <v>53640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53640</v>
      </c>
      <c r="L29" s="71">
        <v>0</v>
      </c>
      <c r="M29" s="71">
        <v>0</v>
      </c>
      <c r="N29" s="71">
        <v>0</v>
      </c>
      <c r="O29" s="71">
        <v>0</v>
      </c>
      <c r="P29" s="71">
        <v>19960.2</v>
      </c>
      <c r="Q29" s="71">
        <v>0</v>
      </c>
      <c r="R29" s="71">
        <v>0</v>
      </c>
      <c r="S29" s="71">
        <v>0</v>
      </c>
      <c r="T29" s="71">
        <v>37247.199999999997</v>
      </c>
      <c r="U29" s="79"/>
      <c r="V29" s="79" t="s">
        <v>142</v>
      </c>
      <c r="W29" s="79" t="s">
        <v>143</v>
      </c>
      <c r="X29" s="79">
        <v>4.7</v>
      </c>
      <c r="Y29" s="81">
        <v>3.8</v>
      </c>
      <c r="Z29" s="80" t="s">
        <v>205</v>
      </c>
      <c r="AA29" s="80" t="s">
        <v>392</v>
      </c>
      <c r="AC29" s="46"/>
      <c r="AD29" s="93">
        <f t="shared" si="3"/>
        <v>33679.800000000003</v>
      </c>
      <c r="AF29" s="46"/>
      <c r="AH29" s="46"/>
    </row>
    <row r="30" spans="1:34" s="44" customFormat="1" ht="180.75" customHeight="1" x14ac:dyDescent="0.35">
      <c r="A30" s="45" t="s">
        <v>245</v>
      </c>
      <c r="B30" s="77" t="s">
        <v>250</v>
      </c>
      <c r="C30" s="78" t="s">
        <v>140</v>
      </c>
      <c r="D30" s="71">
        <v>3447</v>
      </c>
      <c r="E30" s="71">
        <v>835.1</v>
      </c>
      <c r="F30" s="71">
        <v>0</v>
      </c>
      <c r="G30" s="71">
        <v>0</v>
      </c>
      <c r="H30" s="71">
        <v>0</v>
      </c>
      <c r="I30" s="71">
        <v>3447</v>
      </c>
      <c r="J30" s="71">
        <v>0</v>
      </c>
      <c r="K30" s="71">
        <v>835.1</v>
      </c>
      <c r="L30" s="71">
        <v>0</v>
      </c>
      <c r="M30" s="71">
        <v>0</v>
      </c>
      <c r="N30" s="71">
        <v>2204.6999999999998</v>
      </c>
      <c r="O30" s="71">
        <v>0</v>
      </c>
      <c r="P30" s="71">
        <v>91.9</v>
      </c>
      <c r="Q30" s="71">
        <v>0</v>
      </c>
      <c r="R30" s="71">
        <v>0</v>
      </c>
      <c r="S30" s="71">
        <v>0</v>
      </c>
      <c r="T30" s="71">
        <v>3522.8</v>
      </c>
      <c r="U30" s="79"/>
      <c r="V30" s="79" t="s">
        <v>153</v>
      </c>
      <c r="W30" s="79" t="s">
        <v>105</v>
      </c>
      <c r="X30" s="102">
        <v>62</v>
      </c>
      <c r="Y30" s="118">
        <v>269</v>
      </c>
      <c r="Z30" s="80" t="s">
        <v>254</v>
      </c>
      <c r="AA30" s="80"/>
      <c r="AC30" s="46"/>
      <c r="AD30" s="93">
        <f t="shared" si="3"/>
        <v>1985.5000000000005</v>
      </c>
      <c r="AF30" s="46"/>
      <c r="AH30" s="46"/>
    </row>
    <row r="31" spans="1:34" s="44" customFormat="1" ht="295.5" customHeight="1" x14ac:dyDescent="0.35">
      <c r="A31" s="45" t="s">
        <v>368</v>
      </c>
      <c r="B31" s="77" t="s">
        <v>382</v>
      </c>
      <c r="C31" s="78" t="s">
        <v>140</v>
      </c>
      <c r="D31" s="71">
        <v>15455.2</v>
      </c>
      <c r="E31" s="71">
        <v>3122.8</v>
      </c>
      <c r="F31" s="71">
        <v>0</v>
      </c>
      <c r="G31" s="71">
        <v>0</v>
      </c>
      <c r="H31" s="71">
        <v>0</v>
      </c>
      <c r="I31" s="71">
        <v>15455.2</v>
      </c>
      <c r="J31" s="71">
        <v>0</v>
      </c>
      <c r="K31" s="71">
        <v>3122.8</v>
      </c>
      <c r="L31" s="71">
        <v>0</v>
      </c>
      <c r="M31" s="71">
        <v>0</v>
      </c>
      <c r="N31" s="71">
        <v>7935.2</v>
      </c>
      <c r="O31" s="71">
        <v>0</v>
      </c>
      <c r="P31" s="71">
        <v>330.6</v>
      </c>
      <c r="Q31" s="71">
        <v>0</v>
      </c>
      <c r="R31" s="71">
        <v>0</v>
      </c>
      <c r="S31" s="71">
        <v>0</v>
      </c>
      <c r="T31" s="71">
        <v>12441.2</v>
      </c>
      <c r="U31" s="79"/>
      <c r="V31" s="79" t="s">
        <v>153</v>
      </c>
      <c r="W31" s="79" t="s">
        <v>105</v>
      </c>
      <c r="X31" s="102">
        <v>284</v>
      </c>
      <c r="Y31" s="118">
        <v>773</v>
      </c>
      <c r="Z31" s="80" t="s">
        <v>254</v>
      </c>
      <c r="AA31" s="80"/>
      <c r="AC31" s="46"/>
      <c r="AD31" s="93">
        <f t="shared" si="3"/>
        <v>10312.199999999999</v>
      </c>
      <c r="AF31" s="46"/>
      <c r="AH31" s="46"/>
    </row>
    <row r="32" spans="1:34" s="44" customFormat="1" ht="246" customHeight="1" x14ac:dyDescent="0.35">
      <c r="A32" s="45" t="s">
        <v>369</v>
      </c>
      <c r="B32" s="77" t="s">
        <v>383</v>
      </c>
      <c r="C32" s="78" t="s">
        <v>140</v>
      </c>
      <c r="D32" s="71">
        <v>16649.599999999999</v>
      </c>
      <c r="E32" s="71">
        <v>6393.3</v>
      </c>
      <c r="F32" s="71">
        <v>0</v>
      </c>
      <c r="G32" s="71">
        <v>0</v>
      </c>
      <c r="H32" s="71">
        <v>0</v>
      </c>
      <c r="I32" s="71">
        <v>16649.599999999999</v>
      </c>
      <c r="J32" s="71">
        <v>0</v>
      </c>
      <c r="K32" s="71">
        <v>6393.3</v>
      </c>
      <c r="L32" s="71">
        <v>0</v>
      </c>
      <c r="M32" s="71">
        <v>0</v>
      </c>
      <c r="N32" s="71">
        <v>12335.5</v>
      </c>
      <c r="O32" s="71">
        <v>0</v>
      </c>
      <c r="P32" s="71">
        <v>513.9</v>
      </c>
      <c r="Q32" s="71">
        <v>0</v>
      </c>
      <c r="R32" s="71">
        <v>0</v>
      </c>
      <c r="S32" s="71">
        <v>0</v>
      </c>
      <c r="T32" s="71">
        <v>15810.9</v>
      </c>
      <c r="U32" s="79"/>
      <c r="V32" s="79" t="s">
        <v>153</v>
      </c>
      <c r="W32" s="79" t="s">
        <v>105</v>
      </c>
      <c r="X32" s="102">
        <v>217</v>
      </c>
      <c r="Y32" s="118">
        <v>2521</v>
      </c>
      <c r="Z32" s="80" t="s">
        <v>254</v>
      </c>
      <c r="AA32" s="80"/>
      <c r="AC32" s="46"/>
      <c r="AD32" s="93">
        <f t="shared" si="3"/>
        <v>10193.499999999998</v>
      </c>
      <c r="AF32" s="46"/>
      <c r="AH32" s="46"/>
    </row>
    <row r="33" spans="1:101" s="70" customFormat="1" ht="85.5" customHeight="1" x14ac:dyDescent="0.35">
      <c r="A33" s="45" t="s">
        <v>54</v>
      </c>
      <c r="B33" s="77" t="s">
        <v>55</v>
      </c>
      <c r="C33" s="78" t="s">
        <v>140</v>
      </c>
      <c r="D33" s="71">
        <v>3563315.2000000002</v>
      </c>
      <c r="E33" s="71">
        <v>0</v>
      </c>
      <c r="F33" s="71">
        <v>0</v>
      </c>
      <c r="G33" s="71">
        <v>0</v>
      </c>
      <c r="H33" s="71">
        <v>0</v>
      </c>
      <c r="I33" s="71">
        <v>5030871.3</v>
      </c>
      <c r="J33" s="71">
        <v>0</v>
      </c>
      <c r="K33" s="71">
        <v>0</v>
      </c>
      <c r="L33" s="71">
        <v>0</v>
      </c>
      <c r="M33" s="71">
        <v>0</v>
      </c>
      <c r="N33" s="71">
        <v>4463406.4000000004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71">
        <v>33791.300000000003</v>
      </c>
      <c r="U33" s="79"/>
      <c r="V33" s="79" t="s">
        <v>154</v>
      </c>
      <c r="W33" s="79" t="s">
        <v>105</v>
      </c>
      <c r="X33" s="79" t="s">
        <v>138</v>
      </c>
      <c r="Y33" s="120">
        <v>172240</v>
      </c>
      <c r="Z33" s="80" t="s">
        <v>205</v>
      </c>
      <c r="AA33" s="80" t="s">
        <v>392</v>
      </c>
      <c r="AB33" s="44"/>
      <c r="AC33" s="46"/>
      <c r="AD33" s="93">
        <f t="shared" si="3"/>
        <v>567464.89999999944</v>
      </c>
      <c r="AE33" s="44"/>
      <c r="AF33" s="46"/>
      <c r="AG33" s="44"/>
      <c r="AH33" s="46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</row>
    <row r="34" spans="1:101" s="70" customFormat="1" ht="210" customHeight="1" x14ac:dyDescent="0.35">
      <c r="A34" s="45" t="s">
        <v>56</v>
      </c>
      <c r="B34" s="77" t="s">
        <v>57</v>
      </c>
      <c r="C34" s="78" t="s">
        <v>140</v>
      </c>
      <c r="D34" s="71">
        <v>31133.1</v>
      </c>
      <c r="E34" s="71">
        <v>0</v>
      </c>
      <c r="F34" s="71">
        <v>0</v>
      </c>
      <c r="G34" s="71">
        <v>0</v>
      </c>
      <c r="H34" s="71">
        <v>0</v>
      </c>
      <c r="I34" s="71">
        <v>29833.1</v>
      </c>
      <c r="J34" s="71">
        <v>0</v>
      </c>
      <c r="K34" s="71">
        <v>0</v>
      </c>
      <c r="L34" s="71">
        <v>0</v>
      </c>
      <c r="M34" s="71">
        <v>0</v>
      </c>
      <c r="N34" s="71">
        <v>18719.5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18861.099999999999</v>
      </c>
      <c r="U34" s="79"/>
      <c r="V34" s="79" t="s">
        <v>155</v>
      </c>
      <c r="W34" s="79" t="s">
        <v>105</v>
      </c>
      <c r="X34" s="79" t="s">
        <v>138</v>
      </c>
      <c r="Y34" s="120">
        <v>3749</v>
      </c>
      <c r="Z34" s="80" t="s">
        <v>205</v>
      </c>
      <c r="AA34" s="80" t="s">
        <v>392</v>
      </c>
      <c r="AB34" s="44"/>
      <c r="AC34" s="46"/>
      <c r="AD34" s="93">
        <f t="shared" si="3"/>
        <v>11113.599999999999</v>
      </c>
      <c r="AE34" s="44"/>
      <c r="AF34" s="46"/>
      <c r="AG34" s="44"/>
      <c r="AH34" s="46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</row>
    <row r="35" spans="1:101" s="70" customFormat="1" ht="333.75" customHeight="1" x14ac:dyDescent="0.35">
      <c r="A35" s="96" t="s">
        <v>58</v>
      </c>
      <c r="B35" s="77" t="s">
        <v>358</v>
      </c>
      <c r="C35" s="78" t="s">
        <v>140</v>
      </c>
      <c r="D35" s="71">
        <v>19000</v>
      </c>
      <c r="E35" s="71">
        <v>0</v>
      </c>
      <c r="F35" s="71">
        <v>0</v>
      </c>
      <c r="G35" s="71">
        <v>0</v>
      </c>
      <c r="H35" s="71">
        <v>0</v>
      </c>
      <c r="I35" s="71">
        <v>28000</v>
      </c>
      <c r="J35" s="71">
        <v>0</v>
      </c>
      <c r="K35" s="71">
        <v>0</v>
      </c>
      <c r="L35" s="71">
        <v>0</v>
      </c>
      <c r="M35" s="71">
        <v>0</v>
      </c>
      <c r="N35" s="71">
        <v>9987.7999999999993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9987.7999999999993</v>
      </c>
      <c r="U35" s="79"/>
      <c r="V35" s="79" t="s">
        <v>156</v>
      </c>
      <c r="W35" s="79" t="s">
        <v>105</v>
      </c>
      <c r="X35" s="79" t="s">
        <v>138</v>
      </c>
      <c r="Y35" s="118">
        <v>37</v>
      </c>
      <c r="Z35" s="80" t="s">
        <v>205</v>
      </c>
      <c r="AA35" s="80" t="s">
        <v>392</v>
      </c>
      <c r="AB35" s="44"/>
      <c r="AC35" s="46"/>
      <c r="AD35" s="93">
        <f t="shared" si="3"/>
        <v>18012.2</v>
      </c>
      <c r="AE35" s="44"/>
      <c r="AF35" s="46"/>
      <c r="AG35" s="44"/>
      <c r="AH35" s="46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</row>
    <row r="36" spans="1:101" s="70" customFormat="1" ht="155.25" customHeight="1" x14ac:dyDescent="0.35">
      <c r="A36" s="45" t="s">
        <v>59</v>
      </c>
      <c r="B36" s="77" t="s">
        <v>189</v>
      </c>
      <c r="C36" s="78" t="s">
        <v>140</v>
      </c>
      <c r="D36" s="71">
        <v>2717.1</v>
      </c>
      <c r="E36" s="71">
        <v>0</v>
      </c>
      <c r="F36" s="71">
        <v>0</v>
      </c>
      <c r="G36" s="71">
        <v>0</v>
      </c>
      <c r="H36" s="71">
        <v>0</v>
      </c>
      <c r="I36" s="71">
        <v>1830</v>
      </c>
      <c r="J36" s="71">
        <v>0</v>
      </c>
      <c r="K36" s="71">
        <v>0</v>
      </c>
      <c r="L36" s="71">
        <v>0</v>
      </c>
      <c r="M36" s="71">
        <v>0</v>
      </c>
      <c r="N36" s="71">
        <v>603.6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603.6</v>
      </c>
      <c r="U36" s="79"/>
      <c r="V36" s="79" t="s">
        <v>157</v>
      </c>
      <c r="W36" s="72" t="s">
        <v>105</v>
      </c>
      <c r="X36" s="72" t="s">
        <v>138</v>
      </c>
      <c r="Y36" s="173">
        <v>441</v>
      </c>
      <c r="Z36" s="80" t="s">
        <v>205</v>
      </c>
      <c r="AA36" s="80" t="s">
        <v>392</v>
      </c>
      <c r="AB36" s="44"/>
      <c r="AC36" s="46"/>
      <c r="AD36" s="93">
        <f t="shared" si="3"/>
        <v>1226.4000000000001</v>
      </c>
      <c r="AE36" s="44"/>
      <c r="AF36" s="46"/>
      <c r="AG36" s="44"/>
      <c r="AH36" s="46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</row>
    <row r="37" spans="1:101" s="70" customFormat="1" ht="188.25" customHeight="1" x14ac:dyDescent="0.35">
      <c r="A37" s="45" t="s">
        <v>60</v>
      </c>
      <c r="B37" s="77" t="s">
        <v>209</v>
      </c>
      <c r="C37" s="78" t="s">
        <v>140</v>
      </c>
      <c r="D37" s="71">
        <v>330</v>
      </c>
      <c r="E37" s="71">
        <v>0</v>
      </c>
      <c r="F37" s="71">
        <v>0</v>
      </c>
      <c r="G37" s="71">
        <v>0</v>
      </c>
      <c r="H37" s="71">
        <v>0</v>
      </c>
      <c r="I37" s="71">
        <v>330</v>
      </c>
      <c r="J37" s="71">
        <v>0</v>
      </c>
      <c r="K37" s="71">
        <v>0</v>
      </c>
      <c r="L37" s="71">
        <v>0</v>
      </c>
      <c r="M37" s="71">
        <v>0</v>
      </c>
      <c r="N37" s="71">
        <v>184.5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71">
        <v>184.6</v>
      </c>
      <c r="U37" s="79"/>
      <c r="V37" s="79" t="s">
        <v>158</v>
      </c>
      <c r="W37" s="72" t="s">
        <v>105</v>
      </c>
      <c r="X37" s="72" t="s">
        <v>138</v>
      </c>
      <c r="Y37" s="173">
        <v>108</v>
      </c>
      <c r="Z37" s="80" t="s">
        <v>205</v>
      </c>
      <c r="AA37" s="80" t="s">
        <v>392</v>
      </c>
      <c r="AB37" s="44"/>
      <c r="AC37" s="46"/>
      <c r="AD37" s="93">
        <f t="shared" si="3"/>
        <v>145.5</v>
      </c>
      <c r="AE37" s="44"/>
      <c r="AF37" s="46"/>
      <c r="AG37" s="44"/>
      <c r="AH37" s="46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</row>
    <row r="38" spans="1:101" s="70" customFormat="1" ht="185.25" customHeight="1" x14ac:dyDescent="0.35">
      <c r="A38" s="45" t="s">
        <v>294</v>
      </c>
      <c r="B38" s="77" t="s">
        <v>351</v>
      </c>
      <c r="C38" s="78" t="s">
        <v>140</v>
      </c>
      <c r="D38" s="71">
        <v>16644.099999999999</v>
      </c>
      <c r="E38" s="71">
        <v>0</v>
      </c>
      <c r="F38" s="71">
        <v>0</v>
      </c>
      <c r="G38" s="71">
        <v>0</v>
      </c>
      <c r="H38" s="71">
        <v>0</v>
      </c>
      <c r="I38" s="71">
        <v>16644.099999999999</v>
      </c>
      <c r="J38" s="71">
        <v>0</v>
      </c>
      <c r="K38" s="71">
        <v>0</v>
      </c>
      <c r="L38" s="71">
        <v>0</v>
      </c>
      <c r="M38" s="71">
        <v>0</v>
      </c>
      <c r="N38" s="71">
        <v>7684.8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8101.4</v>
      </c>
      <c r="U38" s="79"/>
      <c r="V38" s="79" t="s">
        <v>295</v>
      </c>
      <c r="W38" s="72" t="s">
        <v>138</v>
      </c>
      <c r="X38" s="72" t="s">
        <v>138</v>
      </c>
      <c r="Y38" s="81" t="s">
        <v>138</v>
      </c>
      <c r="Z38" s="80" t="s">
        <v>205</v>
      </c>
      <c r="AA38" s="80" t="s">
        <v>392</v>
      </c>
      <c r="AB38" s="44"/>
      <c r="AC38" s="46"/>
      <c r="AD38" s="93">
        <f t="shared" si="3"/>
        <v>8959.2999999999993</v>
      </c>
      <c r="AE38" s="44"/>
      <c r="AF38" s="46"/>
      <c r="AG38" s="44"/>
      <c r="AH38" s="46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</row>
    <row r="39" spans="1:101" s="44" customFormat="1" ht="409.6" customHeight="1" x14ac:dyDescent="0.35">
      <c r="A39" s="47" t="s">
        <v>85</v>
      </c>
      <c r="B39" s="77" t="s">
        <v>86</v>
      </c>
      <c r="C39" s="78" t="s">
        <v>140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81"/>
      <c r="V39" s="79" t="s">
        <v>159</v>
      </c>
      <c r="W39" s="79" t="s">
        <v>138</v>
      </c>
      <c r="X39" s="79" t="s">
        <v>138</v>
      </c>
      <c r="Y39" s="119" t="s">
        <v>478</v>
      </c>
      <c r="Z39" s="80" t="s">
        <v>254</v>
      </c>
      <c r="AA39" s="80"/>
      <c r="AC39" s="46"/>
      <c r="AD39" s="93">
        <f t="shared" si="3"/>
        <v>0</v>
      </c>
      <c r="AF39" s="46"/>
      <c r="AH39" s="46"/>
    </row>
    <row r="40" spans="1:101" s="44" customFormat="1" ht="409.5" customHeight="1" x14ac:dyDescent="0.35">
      <c r="A40" s="47" t="s">
        <v>87</v>
      </c>
      <c r="B40" s="77" t="s">
        <v>88</v>
      </c>
      <c r="C40" s="78" t="s">
        <v>140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71">
        <v>0</v>
      </c>
      <c r="U40" s="81"/>
      <c r="V40" s="79" t="s">
        <v>160</v>
      </c>
      <c r="W40" s="79" t="s">
        <v>138</v>
      </c>
      <c r="X40" s="79" t="s">
        <v>138</v>
      </c>
      <c r="Y40" s="119" t="s">
        <v>472</v>
      </c>
      <c r="Z40" s="80" t="s">
        <v>254</v>
      </c>
      <c r="AA40" s="80"/>
      <c r="AC40" s="46"/>
      <c r="AD40" s="93">
        <f t="shared" si="3"/>
        <v>0</v>
      </c>
      <c r="AF40" s="46"/>
      <c r="AH40" s="46"/>
    </row>
    <row r="41" spans="1:101" s="44" customFormat="1" ht="309.75" customHeight="1" x14ac:dyDescent="0.35">
      <c r="A41" s="47" t="s">
        <v>89</v>
      </c>
      <c r="B41" s="77" t="s">
        <v>90</v>
      </c>
      <c r="C41" s="78" t="s">
        <v>140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81"/>
      <c r="V41" s="79" t="s">
        <v>161</v>
      </c>
      <c r="W41" s="79" t="s">
        <v>138</v>
      </c>
      <c r="X41" s="79" t="s">
        <v>138</v>
      </c>
      <c r="Y41" s="119" t="s">
        <v>456</v>
      </c>
      <c r="Z41" s="80" t="s">
        <v>254</v>
      </c>
      <c r="AA41" s="80"/>
      <c r="AC41" s="46"/>
      <c r="AD41" s="93">
        <f t="shared" si="3"/>
        <v>0</v>
      </c>
      <c r="AF41" s="46"/>
      <c r="AH41" s="46"/>
    </row>
    <row r="42" spans="1:101" s="103" customFormat="1" ht="141.75" customHeight="1" x14ac:dyDescent="0.35">
      <c r="A42" s="127" t="s">
        <v>350</v>
      </c>
      <c r="B42" s="77" t="s">
        <v>61</v>
      </c>
      <c r="C42" s="78" t="s">
        <v>140</v>
      </c>
      <c r="D42" s="71">
        <v>0</v>
      </c>
      <c r="E42" s="71">
        <v>692429.9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692429.9</v>
      </c>
      <c r="L42" s="71">
        <v>0</v>
      </c>
      <c r="M42" s="71">
        <v>0</v>
      </c>
      <c r="N42" s="71">
        <v>0</v>
      </c>
      <c r="O42" s="71">
        <v>0</v>
      </c>
      <c r="P42" s="71">
        <v>452153.5</v>
      </c>
      <c r="Q42" s="71">
        <v>0</v>
      </c>
      <c r="R42" s="71">
        <v>0</v>
      </c>
      <c r="S42" s="71">
        <v>0</v>
      </c>
      <c r="T42" s="71">
        <v>484713.2</v>
      </c>
      <c r="U42" s="79"/>
      <c r="V42" s="79" t="s">
        <v>162</v>
      </c>
      <c r="W42" s="79" t="s">
        <v>138</v>
      </c>
      <c r="X42" s="79" t="s">
        <v>138</v>
      </c>
      <c r="Y42" s="119" t="s">
        <v>138</v>
      </c>
      <c r="Z42" s="80" t="s">
        <v>205</v>
      </c>
      <c r="AA42" s="80" t="s">
        <v>138</v>
      </c>
      <c r="AC42" s="128"/>
      <c r="AD42" s="129">
        <f t="shared" si="3"/>
        <v>240276.40000000002</v>
      </c>
      <c r="AF42" s="128"/>
      <c r="AH42" s="128"/>
    </row>
    <row r="43" spans="1:101" s="44" customFormat="1" ht="127.5" customHeight="1" x14ac:dyDescent="0.35">
      <c r="A43" s="45" t="s">
        <v>139</v>
      </c>
      <c r="B43" s="77" t="s">
        <v>176</v>
      </c>
      <c r="C43" s="78" t="s">
        <v>140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81"/>
      <c r="V43" s="79" t="s">
        <v>178</v>
      </c>
      <c r="W43" s="79" t="s">
        <v>164</v>
      </c>
      <c r="X43" s="102">
        <v>1</v>
      </c>
      <c r="Y43" s="120">
        <v>0</v>
      </c>
      <c r="Z43" s="80" t="s">
        <v>205</v>
      </c>
      <c r="AA43" s="80" t="s">
        <v>446</v>
      </c>
      <c r="AC43" s="46"/>
      <c r="AD43" s="93">
        <f t="shared" si="3"/>
        <v>0</v>
      </c>
      <c r="AF43" s="46"/>
      <c r="AH43" s="46"/>
    </row>
    <row r="44" spans="1:101" s="44" customFormat="1" ht="114.75" customHeight="1" x14ac:dyDescent="0.35">
      <c r="A44" s="45" t="s">
        <v>78</v>
      </c>
      <c r="B44" s="77" t="s">
        <v>177</v>
      </c>
      <c r="C44" s="78" t="s">
        <v>140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81"/>
      <c r="V44" s="79" t="s">
        <v>179</v>
      </c>
      <c r="W44" s="79" t="s">
        <v>144</v>
      </c>
      <c r="X44" s="102">
        <v>237</v>
      </c>
      <c r="Y44" s="81">
        <v>182.1</v>
      </c>
      <c r="Z44" s="80" t="s">
        <v>205</v>
      </c>
      <c r="AA44" s="80" t="s">
        <v>392</v>
      </c>
      <c r="AC44" s="46"/>
      <c r="AD44" s="93">
        <f t="shared" si="3"/>
        <v>0</v>
      </c>
      <c r="AF44" s="46"/>
      <c r="AH44" s="46"/>
    </row>
    <row r="45" spans="1:101" s="44" customFormat="1" ht="199.5" customHeight="1" x14ac:dyDescent="0.35">
      <c r="A45" s="45" t="s">
        <v>80</v>
      </c>
      <c r="B45" s="77" t="s">
        <v>180</v>
      </c>
      <c r="C45" s="78" t="s">
        <v>140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71">
        <v>0</v>
      </c>
      <c r="U45" s="81"/>
      <c r="V45" s="79" t="s">
        <v>181</v>
      </c>
      <c r="W45" s="79" t="s">
        <v>138</v>
      </c>
      <c r="X45" s="102" t="s">
        <v>138</v>
      </c>
      <c r="Y45" s="120">
        <v>3465</v>
      </c>
      <c r="Z45" s="80" t="s">
        <v>254</v>
      </c>
      <c r="AA45" s="80"/>
      <c r="AC45" s="46"/>
      <c r="AD45" s="93">
        <f t="shared" si="3"/>
        <v>0</v>
      </c>
      <c r="AF45" s="46"/>
      <c r="AH45" s="46"/>
    </row>
    <row r="46" spans="1:101" s="44" customFormat="1" ht="240" customHeight="1" x14ac:dyDescent="0.35">
      <c r="A46" s="45" t="s">
        <v>234</v>
      </c>
      <c r="B46" s="77" t="s">
        <v>235</v>
      </c>
      <c r="C46" s="78" t="s">
        <v>140</v>
      </c>
      <c r="D46" s="71">
        <v>0</v>
      </c>
      <c r="E46" s="71">
        <v>1744.6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1744.6</v>
      </c>
      <c r="L46" s="71">
        <v>0</v>
      </c>
      <c r="M46" s="71">
        <v>0</v>
      </c>
      <c r="N46" s="71">
        <v>0</v>
      </c>
      <c r="O46" s="71">
        <v>0</v>
      </c>
      <c r="P46" s="71">
        <v>167.4</v>
      </c>
      <c r="Q46" s="71">
        <v>0</v>
      </c>
      <c r="R46" s="71">
        <v>0</v>
      </c>
      <c r="S46" s="71">
        <v>0</v>
      </c>
      <c r="T46" s="71">
        <v>203.7</v>
      </c>
      <c r="U46" s="79"/>
      <c r="V46" s="79" t="s">
        <v>236</v>
      </c>
      <c r="W46" s="79" t="s">
        <v>105</v>
      </c>
      <c r="X46" s="102">
        <v>40</v>
      </c>
      <c r="Y46" s="118">
        <v>5</v>
      </c>
      <c r="Z46" s="80" t="s">
        <v>205</v>
      </c>
      <c r="AA46" s="80" t="s">
        <v>392</v>
      </c>
      <c r="AC46" s="46"/>
      <c r="AD46" s="93">
        <f t="shared" si="3"/>
        <v>1577.1999999999998</v>
      </c>
      <c r="AF46" s="46"/>
      <c r="AH46" s="46"/>
    </row>
    <row r="47" spans="1:101" s="86" customFormat="1" ht="89.25" customHeight="1" x14ac:dyDescent="0.35">
      <c r="A47" s="84"/>
      <c r="B47" s="212" t="s">
        <v>62</v>
      </c>
      <c r="C47" s="203" t="s">
        <v>140</v>
      </c>
      <c r="D47" s="114">
        <v>0</v>
      </c>
      <c r="E47" s="114">
        <f>SUM(E48:E74)</f>
        <v>2590</v>
      </c>
      <c r="F47" s="114">
        <v>0</v>
      </c>
      <c r="G47" s="114">
        <v>0</v>
      </c>
      <c r="H47" s="114">
        <v>301541.90000000002</v>
      </c>
      <c r="I47" s="114">
        <v>0</v>
      </c>
      <c r="J47" s="114">
        <v>0</v>
      </c>
      <c r="K47" s="114">
        <f>SUM(K48:K74)</f>
        <v>2590</v>
      </c>
      <c r="L47" s="114">
        <v>0</v>
      </c>
      <c r="M47" s="114">
        <v>0</v>
      </c>
      <c r="N47" s="114">
        <v>0</v>
      </c>
      <c r="O47" s="114">
        <v>0</v>
      </c>
      <c r="P47" s="114">
        <f>SUM(P48:P74)</f>
        <v>1541.6999999999998</v>
      </c>
      <c r="Q47" s="114">
        <v>0</v>
      </c>
      <c r="R47" s="114">
        <v>0</v>
      </c>
      <c r="S47" s="114">
        <f>S64</f>
        <v>0</v>
      </c>
      <c r="T47" s="114">
        <f>T50+T74</f>
        <v>1017.8</v>
      </c>
      <c r="U47" s="114"/>
      <c r="V47" s="204"/>
      <c r="W47" s="204"/>
      <c r="X47" s="204"/>
      <c r="Y47" s="138"/>
      <c r="Z47" s="213"/>
      <c r="AA47" s="213"/>
      <c r="AC47" s="85"/>
      <c r="AD47" s="93">
        <f t="shared" si="3"/>
        <v>1048.3000000000002</v>
      </c>
      <c r="AF47" s="85"/>
      <c r="AH47" s="85"/>
    </row>
    <row r="48" spans="1:101" s="44" customFormat="1" ht="158.25" customHeight="1" x14ac:dyDescent="0.35">
      <c r="A48" s="47" t="s">
        <v>30</v>
      </c>
      <c r="B48" s="77" t="s">
        <v>63</v>
      </c>
      <c r="C48" s="78" t="s">
        <v>140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>
        <v>0</v>
      </c>
      <c r="Q48" s="71">
        <v>0</v>
      </c>
      <c r="R48" s="71">
        <v>0</v>
      </c>
      <c r="S48" s="71">
        <v>0</v>
      </c>
      <c r="T48" s="71">
        <v>0</v>
      </c>
      <c r="U48" s="81"/>
      <c r="V48" s="205" t="s">
        <v>237</v>
      </c>
      <c r="W48" s="79" t="s">
        <v>95</v>
      </c>
      <c r="X48" s="79" t="s">
        <v>352</v>
      </c>
      <c r="Y48" s="214">
        <v>8.0000000000000004E-4</v>
      </c>
      <c r="Z48" s="80" t="s">
        <v>205</v>
      </c>
      <c r="AA48" s="80" t="s">
        <v>392</v>
      </c>
      <c r="AC48" s="46"/>
      <c r="AD48" s="93">
        <f t="shared" si="3"/>
        <v>0</v>
      </c>
      <c r="AF48" s="46"/>
      <c r="AH48" s="46"/>
    </row>
    <row r="49" spans="1:34" s="44" customFormat="1" ht="247.5" customHeight="1" x14ac:dyDescent="0.35">
      <c r="A49" s="47" t="s">
        <v>31</v>
      </c>
      <c r="B49" s="77" t="s">
        <v>64</v>
      </c>
      <c r="C49" s="78" t="s">
        <v>140</v>
      </c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v>0</v>
      </c>
      <c r="N49" s="71">
        <v>0</v>
      </c>
      <c r="O49" s="71">
        <v>0</v>
      </c>
      <c r="P49" s="71">
        <v>0</v>
      </c>
      <c r="Q49" s="71">
        <v>0</v>
      </c>
      <c r="R49" s="71">
        <v>0</v>
      </c>
      <c r="S49" s="71">
        <v>0</v>
      </c>
      <c r="T49" s="71">
        <v>0</v>
      </c>
      <c r="U49" s="81"/>
      <c r="V49" s="101" t="s">
        <v>163</v>
      </c>
      <c r="W49" s="79" t="s">
        <v>164</v>
      </c>
      <c r="X49" s="102">
        <v>270</v>
      </c>
      <c r="Y49" s="119">
        <v>171</v>
      </c>
      <c r="Z49" s="80" t="s">
        <v>205</v>
      </c>
      <c r="AA49" s="80" t="s">
        <v>392</v>
      </c>
      <c r="AC49" s="46"/>
      <c r="AD49" s="93">
        <f t="shared" si="3"/>
        <v>0</v>
      </c>
      <c r="AF49" s="46"/>
      <c r="AH49" s="46"/>
    </row>
    <row r="50" spans="1:34" s="44" customFormat="1" ht="192.75" customHeight="1" x14ac:dyDescent="0.35">
      <c r="A50" s="47" t="s">
        <v>183</v>
      </c>
      <c r="B50" s="77" t="s">
        <v>238</v>
      </c>
      <c r="C50" s="78" t="s">
        <v>140</v>
      </c>
      <c r="D50" s="71">
        <v>0</v>
      </c>
      <c r="E50" s="71">
        <v>631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631</v>
      </c>
      <c r="L50" s="71">
        <v>0</v>
      </c>
      <c r="M50" s="71">
        <v>0</v>
      </c>
      <c r="N50" s="71">
        <v>0</v>
      </c>
      <c r="O50" s="71">
        <v>0</v>
      </c>
      <c r="P50" s="71">
        <v>374.9</v>
      </c>
      <c r="Q50" s="71">
        <v>0</v>
      </c>
      <c r="R50" s="71">
        <v>0</v>
      </c>
      <c r="S50" s="71">
        <v>0</v>
      </c>
      <c r="T50" s="71">
        <v>427.8</v>
      </c>
      <c r="U50" s="81"/>
      <c r="V50" s="101" t="s">
        <v>239</v>
      </c>
      <c r="W50" s="79" t="s">
        <v>240</v>
      </c>
      <c r="X50" s="102">
        <v>631</v>
      </c>
      <c r="Y50" s="140">
        <v>423</v>
      </c>
      <c r="Z50" s="80" t="s">
        <v>205</v>
      </c>
      <c r="AA50" s="80" t="s">
        <v>445</v>
      </c>
      <c r="AC50" s="46"/>
      <c r="AD50" s="93">
        <f t="shared" si="3"/>
        <v>256.10000000000002</v>
      </c>
      <c r="AF50" s="46"/>
      <c r="AH50" s="46"/>
    </row>
    <row r="51" spans="1:34" s="44" customFormat="1" ht="198.75" customHeight="1" x14ac:dyDescent="0.35">
      <c r="A51" s="47" t="s">
        <v>186</v>
      </c>
      <c r="B51" s="77" t="s">
        <v>265</v>
      </c>
      <c r="C51" s="78" t="s">
        <v>278</v>
      </c>
      <c r="D51" s="71">
        <v>0</v>
      </c>
      <c r="E51" s="71">
        <v>588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588</v>
      </c>
      <c r="L51" s="71">
        <v>0</v>
      </c>
      <c r="M51" s="71">
        <v>0</v>
      </c>
      <c r="N51" s="71">
        <v>0</v>
      </c>
      <c r="O51" s="71">
        <v>0</v>
      </c>
      <c r="P51" s="71">
        <v>375.2</v>
      </c>
      <c r="Q51" s="71">
        <v>0</v>
      </c>
      <c r="R51" s="71">
        <v>0</v>
      </c>
      <c r="S51" s="71">
        <v>0</v>
      </c>
      <c r="T51" s="71">
        <v>0</v>
      </c>
      <c r="U51" s="81"/>
      <c r="V51" s="101" t="s">
        <v>239</v>
      </c>
      <c r="W51" s="79" t="s">
        <v>240</v>
      </c>
      <c r="X51" s="102">
        <v>588</v>
      </c>
      <c r="Y51" s="119">
        <v>390</v>
      </c>
      <c r="Z51" s="80" t="s">
        <v>205</v>
      </c>
      <c r="AA51" s="80" t="s">
        <v>445</v>
      </c>
      <c r="AC51" s="46"/>
      <c r="AD51" s="93">
        <f t="shared" si="3"/>
        <v>212.8</v>
      </c>
      <c r="AF51" s="46"/>
      <c r="AH51" s="46"/>
    </row>
    <row r="52" spans="1:34" s="44" customFormat="1" ht="180" customHeight="1" x14ac:dyDescent="0.35">
      <c r="A52" s="47" t="s">
        <v>269</v>
      </c>
      <c r="B52" s="77" t="s">
        <v>266</v>
      </c>
      <c r="C52" s="78" t="s">
        <v>279</v>
      </c>
      <c r="D52" s="71">
        <v>0</v>
      </c>
      <c r="E52" s="71">
        <v>9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9</v>
      </c>
      <c r="L52" s="71">
        <v>0</v>
      </c>
      <c r="M52" s="71">
        <v>0</v>
      </c>
      <c r="N52" s="71">
        <v>0</v>
      </c>
      <c r="O52" s="71">
        <v>0</v>
      </c>
      <c r="P52" s="71">
        <v>0</v>
      </c>
      <c r="Q52" s="71">
        <v>0</v>
      </c>
      <c r="R52" s="71">
        <v>0</v>
      </c>
      <c r="S52" s="71">
        <v>0</v>
      </c>
      <c r="T52" s="71">
        <v>0</v>
      </c>
      <c r="U52" s="79"/>
      <c r="V52" s="101" t="s">
        <v>239</v>
      </c>
      <c r="W52" s="79" t="s">
        <v>240</v>
      </c>
      <c r="X52" s="102">
        <v>9</v>
      </c>
      <c r="Y52" s="119">
        <v>0</v>
      </c>
      <c r="Z52" s="80" t="s">
        <v>205</v>
      </c>
      <c r="AA52" s="80" t="s">
        <v>445</v>
      </c>
      <c r="AB52" s="103"/>
      <c r="AC52" s="46"/>
      <c r="AD52" s="93">
        <f t="shared" si="3"/>
        <v>9</v>
      </c>
      <c r="AF52" s="46"/>
      <c r="AH52" s="46"/>
    </row>
    <row r="53" spans="1:34" s="44" customFormat="1" ht="191.25" customHeight="1" x14ac:dyDescent="0.35">
      <c r="A53" s="47" t="s">
        <v>268</v>
      </c>
      <c r="B53" s="77" t="s">
        <v>267</v>
      </c>
      <c r="C53" s="78" t="s">
        <v>280</v>
      </c>
      <c r="D53" s="71">
        <v>0</v>
      </c>
      <c r="E53" s="71">
        <v>113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113</v>
      </c>
      <c r="L53" s="71">
        <v>0</v>
      </c>
      <c r="M53" s="71">
        <v>0</v>
      </c>
      <c r="N53" s="71">
        <v>0</v>
      </c>
      <c r="O53" s="71">
        <v>0</v>
      </c>
      <c r="P53" s="71">
        <v>38</v>
      </c>
      <c r="Q53" s="71">
        <v>0</v>
      </c>
      <c r="R53" s="71">
        <v>0</v>
      </c>
      <c r="S53" s="71">
        <v>0</v>
      </c>
      <c r="T53" s="71">
        <v>0</v>
      </c>
      <c r="U53" s="79"/>
      <c r="V53" s="101" t="s">
        <v>239</v>
      </c>
      <c r="W53" s="79" t="s">
        <v>240</v>
      </c>
      <c r="X53" s="102">
        <v>113</v>
      </c>
      <c r="Y53" s="119">
        <v>39</v>
      </c>
      <c r="Z53" s="80" t="s">
        <v>205</v>
      </c>
      <c r="AA53" s="80" t="s">
        <v>445</v>
      </c>
      <c r="AC53" s="46"/>
      <c r="AD53" s="93">
        <f t="shared" si="3"/>
        <v>75</v>
      </c>
      <c r="AF53" s="46"/>
      <c r="AH53" s="46"/>
    </row>
    <row r="54" spans="1:34" s="44" customFormat="1" ht="176.25" customHeight="1" x14ac:dyDescent="0.35">
      <c r="A54" s="47" t="s">
        <v>270</v>
      </c>
      <c r="B54" s="77" t="s">
        <v>271</v>
      </c>
      <c r="C54" s="78" t="s">
        <v>141</v>
      </c>
      <c r="D54" s="71">
        <v>0</v>
      </c>
      <c r="E54" s="71">
        <v>72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72</v>
      </c>
      <c r="L54" s="71">
        <v>0</v>
      </c>
      <c r="M54" s="71">
        <v>0</v>
      </c>
      <c r="N54" s="71">
        <v>0</v>
      </c>
      <c r="O54" s="71">
        <v>0</v>
      </c>
      <c r="P54" s="71">
        <v>54.4</v>
      </c>
      <c r="Q54" s="71">
        <v>0</v>
      </c>
      <c r="R54" s="71">
        <v>0</v>
      </c>
      <c r="S54" s="71">
        <v>0</v>
      </c>
      <c r="T54" s="71">
        <v>0</v>
      </c>
      <c r="U54" s="79"/>
      <c r="V54" s="101" t="s">
        <v>239</v>
      </c>
      <c r="W54" s="79" t="s">
        <v>240</v>
      </c>
      <c r="X54" s="102">
        <v>72</v>
      </c>
      <c r="Y54" s="119">
        <v>93</v>
      </c>
      <c r="Z54" s="80" t="s">
        <v>254</v>
      </c>
      <c r="AA54" s="80"/>
      <c r="AC54" s="46"/>
      <c r="AD54" s="93">
        <f t="shared" si="3"/>
        <v>17.600000000000001</v>
      </c>
      <c r="AF54" s="46"/>
      <c r="AH54" s="46"/>
    </row>
    <row r="55" spans="1:34" s="44" customFormat="1" ht="186" customHeight="1" x14ac:dyDescent="0.35">
      <c r="A55" s="47" t="s">
        <v>272</v>
      </c>
      <c r="B55" s="77" t="s">
        <v>273</v>
      </c>
      <c r="C55" s="78" t="s">
        <v>281</v>
      </c>
      <c r="D55" s="71">
        <v>0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1">
        <v>0</v>
      </c>
      <c r="Q55" s="71">
        <v>0</v>
      </c>
      <c r="R55" s="71">
        <v>0</v>
      </c>
      <c r="S55" s="71">
        <v>0</v>
      </c>
      <c r="T55" s="71"/>
      <c r="U55" s="81"/>
      <c r="V55" s="101" t="s">
        <v>239</v>
      </c>
      <c r="W55" s="79" t="s">
        <v>240</v>
      </c>
      <c r="X55" s="102" t="s">
        <v>10</v>
      </c>
      <c r="Y55" s="119" t="s">
        <v>10</v>
      </c>
      <c r="Z55" s="80" t="s">
        <v>205</v>
      </c>
      <c r="AA55" s="80" t="s">
        <v>138</v>
      </c>
      <c r="AC55" s="46"/>
      <c r="AD55" s="93">
        <f t="shared" si="3"/>
        <v>0</v>
      </c>
      <c r="AF55" s="46"/>
      <c r="AH55" s="46"/>
    </row>
    <row r="56" spans="1:34" s="44" customFormat="1" ht="186.75" customHeight="1" x14ac:dyDescent="0.35">
      <c r="A56" s="47" t="s">
        <v>274</v>
      </c>
      <c r="B56" s="77" t="s">
        <v>275</v>
      </c>
      <c r="C56" s="78" t="s">
        <v>282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>
        <v>0</v>
      </c>
      <c r="R56" s="71">
        <v>0</v>
      </c>
      <c r="S56" s="71">
        <v>0</v>
      </c>
      <c r="T56" s="71"/>
      <c r="U56" s="79"/>
      <c r="V56" s="101" t="s">
        <v>239</v>
      </c>
      <c r="W56" s="79" t="s">
        <v>240</v>
      </c>
      <c r="X56" s="102" t="s">
        <v>10</v>
      </c>
      <c r="Y56" s="119" t="s">
        <v>10</v>
      </c>
      <c r="Z56" s="80" t="s">
        <v>205</v>
      </c>
      <c r="AA56" s="80" t="s">
        <v>138</v>
      </c>
      <c r="AC56" s="46"/>
      <c r="AD56" s="93">
        <f t="shared" si="3"/>
        <v>0</v>
      </c>
      <c r="AF56" s="46"/>
      <c r="AH56" s="46"/>
    </row>
    <row r="57" spans="1:34" s="44" customFormat="1" ht="181.5" customHeight="1" x14ac:dyDescent="0.35">
      <c r="A57" s="47" t="s">
        <v>276</v>
      </c>
      <c r="B57" s="77" t="s">
        <v>277</v>
      </c>
      <c r="C57" s="78" t="s">
        <v>399</v>
      </c>
      <c r="D57" s="71">
        <v>0</v>
      </c>
      <c r="E57" s="71">
        <v>418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418</v>
      </c>
      <c r="L57" s="71">
        <v>0</v>
      </c>
      <c r="M57" s="71">
        <v>0</v>
      </c>
      <c r="N57" s="71">
        <v>0</v>
      </c>
      <c r="O57" s="71">
        <v>0</v>
      </c>
      <c r="P57" s="71">
        <v>81.7</v>
      </c>
      <c r="Q57" s="71">
        <v>0</v>
      </c>
      <c r="R57" s="71">
        <v>0</v>
      </c>
      <c r="S57" s="71">
        <v>0</v>
      </c>
      <c r="T57" s="71">
        <v>0</v>
      </c>
      <c r="U57" s="201"/>
      <c r="V57" s="101" t="s">
        <v>239</v>
      </c>
      <c r="W57" s="79" t="s">
        <v>240</v>
      </c>
      <c r="X57" s="102">
        <v>418</v>
      </c>
      <c r="Y57" s="119">
        <v>297</v>
      </c>
      <c r="Z57" s="80" t="s">
        <v>205</v>
      </c>
      <c r="AA57" s="80" t="s">
        <v>445</v>
      </c>
      <c r="AC57" s="46"/>
      <c r="AD57" s="93">
        <f t="shared" si="3"/>
        <v>336.3</v>
      </c>
      <c r="AF57" s="46"/>
      <c r="AH57" s="46"/>
    </row>
    <row r="58" spans="1:34" s="44" customFormat="1" ht="147" customHeight="1" x14ac:dyDescent="0.35">
      <c r="A58" s="47" t="s">
        <v>371</v>
      </c>
      <c r="B58" s="77" t="s">
        <v>370</v>
      </c>
      <c r="C58" s="78" t="s">
        <v>388</v>
      </c>
      <c r="D58" s="71">
        <v>0</v>
      </c>
      <c r="E58" s="71">
        <v>82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82</v>
      </c>
      <c r="L58" s="71"/>
      <c r="M58" s="71">
        <v>0</v>
      </c>
      <c r="N58" s="71">
        <v>0</v>
      </c>
      <c r="O58" s="71">
        <v>0</v>
      </c>
      <c r="P58" s="71">
        <v>0</v>
      </c>
      <c r="Q58" s="71">
        <v>0</v>
      </c>
      <c r="R58" s="71">
        <v>0</v>
      </c>
      <c r="S58" s="71">
        <v>0</v>
      </c>
      <c r="T58" s="71">
        <v>0</v>
      </c>
      <c r="U58" s="201"/>
      <c r="V58" s="101" t="s">
        <v>239</v>
      </c>
      <c r="W58" s="79" t="s">
        <v>240</v>
      </c>
      <c r="X58" s="102">
        <v>82</v>
      </c>
      <c r="Y58" s="102">
        <v>0</v>
      </c>
      <c r="Z58" s="80" t="s">
        <v>205</v>
      </c>
      <c r="AA58" s="80" t="s">
        <v>445</v>
      </c>
      <c r="AC58" s="46"/>
      <c r="AD58" s="93">
        <f t="shared" si="3"/>
        <v>82</v>
      </c>
      <c r="AF58" s="46"/>
      <c r="AH58" s="46"/>
    </row>
    <row r="59" spans="1:34" s="44" customFormat="1" ht="157.5" customHeight="1" x14ac:dyDescent="0.35">
      <c r="A59" s="47" t="s">
        <v>374</v>
      </c>
      <c r="B59" s="77" t="s">
        <v>373</v>
      </c>
      <c r="C59" s="78" t="s">
        <v>389</v>
      </c>
      <c r="D59" s="71">
        <v>0</v>
      </c>
      <c r="E59" s="71">
        <v>20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20</v>
      </c>
      <c r="L59" s="71">
        <v>0</v>
      </c>
      <c r="M59" s="71">
        <v>0</v>
      </c>
      <c r="N59" s="71">
        <v>0</v>
      </c>
      <c r="O59" s="71">
        <v>0</v>
      </c>
      <c r="P59" s="71">
        <v>10.5</v>
      </c>
      <c r="Q59" s="71">
        <v>0</v>
      </c>
      <c r="R59" s="71">
        <v>0</v>
      </c>
      <c r="S59" s="71">
        <v>0</v>
      </c>
      <c r="T59" s="71">
        <v>0</v>
      </c>
      <c r="U59" s="201"/>
      <c r="V59" s="101" t="s">
        <v>239</v>
      </c>
      <c r="W59" s="79" t="s">
        <v>240</v>
      </c>
      <c r="X59" s="102">
        <v>20</v>
      </c>
      <c r="Y59" s="119">
        <v>21</v>
      </c>
      <c r="Z59" s="80" t="s">
        <v>254</v>
      </c>
      <c r="AA59" s="80"/>
      <c r="AC59" s="46"/>
      <c r="AD59" s="93">
        <f t="shared" si="3"/>
        <v>9.5</v>
      </c>
      <c r="AF59" s="46"/>
      <c r="AH59" s="46"/>
    </row>
    <row r="60" spans="1:34" s="44" customFormat="1" ht="171.75" customHeight="1" x14ac:dyDescent="0.35">
      <c r="A60" s="47" t="s">
        <v>377</v>
      </c>
      <c r="B60" s="77" t="s">
        <v>376</v>
      </c>
      <c r="C60" s="78" t="s">
        <v>390</v>
      </c>
      <c r="D60" s="71">
        <v>0</v>
      </c>
      <c r="E60" s="71">
        <v>50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v>50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>
        <v>0</v>
      </c>
      <c r="R60" s="71">
        <v>0</v>
      </c>
      <c r="S60" s="71">
        <v>0</v>
      </c>
      <c r="T60" s="71"/>
      <c r="U60" s="201"/>
      <c r="V60" s="101" t="s">
        <v>239</v>
      </c>
      <c r="W60" s="79" t="s">
        <v>240</v>
      </c>
      <c r="X60" s="102">
        <v>50</v>
      </c>
      <c r="Y60" s="102">
        <v>0</v>
      </c>
      <c r="Z60" s="80" t="s">
        <v>205</v>
      </c>
      <c r="AA60" s="80" t="s">
        <v>445</v>
      </c>
      <c r="AC60" s="46"/>
      <c r="AD60" s="93">
        <f t="shared" si="3"/>
        <v>50</v>
      </c>
      <c r="AF60" s="46"/>
      <c r="AH60" s="46"/>
    </row>
    <row r="61" spans="1:34" s="44" customFormat="1" ht="174.75" customHeight="1" x14ac:dyDescent="0.35">
      <c r="A61" s="47" t="s">
        <v>379</v>
      </c>
      <c r="B61" s="77" t="s">
        <v>380</v>
      </c>
      <c r="C61" s="78" t="s">
        <v>381</v>
      </c>
      <c r="D61" s="71">
        <v>0</v>
      </c>
      <c r="E61" s="71">
        <v>17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71">
        <v>17</v>
      </c>
      <c r="L61" s="71">
        <v>0</v>
      </c>
      <c r="M61" s="71">
        <v>0</v>
      </c>
      <c r="N61" s="71">
        <v>0</v>
      </c>
      <c r="O61" s="71">
        <v>0</v>
      </c>
      <c r="P61" s="71">
        <v>17</v>
      </c>
      <c r="Q61" s="71">
        <v>0</v>
      </c>
      <c r="R61" s="71">
        <v>0</v>
      </c>
      <c r="S61" s="71">
        <v>0</v>
      </c>
      <c r="T61" s="71"/>
      <c r="U61" s="201"/>
      <c r="V61" s="101" t="s">
        <v>239</v>
      </c>
      <c r="W61" s="79" t="s">
        <v>240</v>
      </c>
      <c r="X61" s="102">
        <v>17</v>
      </c>
      <c r="Y61" s="102">
        <v>17</v>
      </c>
      <c r="Z61" s="80" t="s">
        <v>254</v>
      </c>
      <c r="AA61" s="80"/>
      <c r="AC61" s="46"/>
      <c r="AD61" s="93">
        <f t="shared" si="3"/>
        <v>0</v>
      </c>
      <c r="AF61" s="46"/>
      <c r="AH61" s="46"/>
    </row>
    <row r="62" spans="1:34" s="44" customFormat="1" ht="138.75" customHeight="1" x14ac:dyDescent="0.35">
      <c r="A62" s="47" t="s">
        <v>44</v>
      </c>
      <c r="B62" s="77" t="s">
        <v>65</v>
      </c>
      <c r="C62" s="78" t="s">
        <v>140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0</v>
      </c>
      <c r="R62" s="71">
        <v>0</v>
      </c>
      <c r="S62" s="71">
        <v>0</v>
      </c>
      <c r="T62" s="71">
        <v>0</v>
      </c>
      <c r="U62" s="81"/>
      <c r="V62" s="101" t="s">
        <v>165</v>
      </c>
      <c r="W62" s="79" t="s">
        <v>138</v>
      </c>
      <c r="X62" s="79" t="s">
        <v>138</v>
      </c>
      <c r="Y62" s="121" t="s">
        <v>464</v>
      </c>
      <c r="Z62" s="80" t="s">
        <v>254</v>
      </c>
      <c r="AA62" s="80"/>
      <c r="AC62" s="46"/>
      <c r="AD62" s="93">
        <f t="shared" si="3"/>
        <v>0</v>
      </c>
      <c r="AF62" s="46"/>
      <c r="AH62" s="46"/>
    </row>
    <row r="63" spans="1:34" s="44" customFormat="1" ht="252" customHeight="1" x14ac:dyDescent="0.35">
      <c r="A63" s="47" t="s">
        <v>46</v>
      </c>
      <c r="B63" s="77" t="s">
        <v>66</v>
      </c>
      <c r="C63" s="78" t="s">
        <v>140</v>
      </c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>
        <v>0</v>
      </c>
      <c r="R63" s="71">
        <v>0</v>
      </c>
      <c r="S63" s="71">
        <v>0</v>
      </c>
      <c r="T63" s="71">
        <v>0</v>
      </c>
      <c r="U63" s="81"/>
      <c r="V63" s="101" t="s">
        <v>210</v>
      </c>
      <c r="W63" s="119" t="s">
        <v>166</v>
      </c>
      <c r="X63" s="119">
        <v>301541.90000000002</v>
      </c>
      <c r="Y63" s="142">
        <v>0</v>
      </c>
      <c r="Z63" s="80" t="s">
        <v>205</v>
      </c>
      <c r="AA63" s="80" t="s">
        <v>392</v>
      </c>
      <c r="AC63" s="46"/>
      <c r="AD63" s="93">
        <f t="shared" si="3"/>
        <v>0</v>
      </c>
      <c r="AF63" s="46"/>
      <c r="AH63" s="46"/>
    </row>
    <row r="64" spans="1:34" s="44" customFormat="1" ht="192" customHeight="1" x14ac:dyDescent="0.35">
      <c r="A64" s="47" t="s">
        <v>48</v>
      </c>
      <c r="B64" s="77" t="s">
        <v>67</v>
      </c>
      <c r="C64" s="78" t="s">
        <v>140</v>
      </c>
      <c r="D64" s="71">
        <v>0</v>
      </c>
      <c r="E64" s="71">
        <v>0</v>
      </c>
      <c r="F64" s="71">
        <v>0</v>
      </c>
      <c r="G64" s="71">
        <v>0</v>
      </c>
      <c r="H64" s="71">
        <v>301541.90000000002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>
        <v>0</v>
      </c>
      <c r="R64" s="71">
        <v>0</v>
      </c>
      <c r="S64" s="71">
        <v>0</v>
      </c>
      <c r="T64" s="71">
        <v>0</v>
      </c>
      <c r="U64" s="101"/>
      <c r="V64" s="208" t="s">
        <v>167</v>
      </c>
      <c r="W64" s="79" t="s">
        <v>95</v>
      </c>
      <c r="X64" s="79" t="s">
        <v>345</v>
      </c>
      <c r="Y64" s="139">
        <v>0.223</v>
      </c>
      <c r="Z64" s="80" t="s">
        <v>254</v>
      </c>
      <c r="AA64" s="80"/>
      <c r="AC64" s="46"/>
      <c r="AD64" s="93">
        <f t="shared" si="3"/>
        <v>0</v>
      </c>
      <c r="AF64" s="46"/>
      <c r="AH64" s="46"/>
    </row>
    <row r="65" spans="1:34" s="44" customFormat="1" ht="120" customHeight="1" x14ac:dyDescent="0.35">
      <c r="A65" s="47" t="s">
        <v>50</v>
      </c>
      <c r="B65" s="77" t="s">
        <v>68</v>
      </c>
      <c r="C65" s="78" t="s">
        <v>140</v>
      </c>
      <c r="D65" s="71">
        <v>0</v>
      </c>
      <c r="E65" s="71">
        <v>0</v>
      </c>
      <c r="F65" s="71">
        <v>0</v>
      </c>
      <c r="G65" s="71">
        <v>0</v>
      </c>
      <c r="H65" s="71">
        <v>0</v>
      </c>
      <c r="I65" s="71">
        <v>0</v>
      </c>
      <c r="J65" s="71">
        <v>0</v>
      </c>
      <c r="K65" s="71">
        <v>0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1">
        <v>0</v>
      </c>
      <c r="R65" s="71">
        <v>0</v>
      </c>
      <c r="S65" s="71">
        <v>0</v>
      </c>
      <c r="T65" s="71">
        <v>0</v>
      </c>
      <c r="U65" s="81"/>
      <c r="V65" s="101" t="s">
        <v>168</v>
      </c>
      <c r="W65" s="79" t="s">
        <v>164</v>
      </c>
      <c r="X65" s="102">
        <v>4</v>
      </c>
      <c r="Y65" s="119">
        <v>3</v>
      </c>
      <c r="Z65" s="80" t="s">
        <v>205</v>
      </c>
      <c r="AA65" s="80" t="s">
        <v>392</v>
      </c>
      <c r="AC65" s="46"/>
      <c r="AD65" s="93">
        <f t="shared" si="3"/>
        <v>0</v>
      </c>
      <c r="AF65" s="46"/>
      <c r="AH65" s="46"/>
    </row>
    <row r="66" spans="1:34" s="44" customFormat="1" ht="285.75" customHeight="1" x14ac:dyDescent="0.35">
      <c r="A66" s="47" t="s">
        <v>52</v>
      </c>
      <c r="B66" s="77" t="s">
        <v>69</v>
      </c>
      <c r="C66" s="78" t="s">
        <v>140</v>
      </c>
      <c r="D66" s="71">
        <v>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  <c r="P66" s="71">
        <v>0</v>
      </c>
      <c r="Q66" s="71">
        <v>0</v>
      </c>
      <c r="R66" s="71">
        <v>0</v>
      </c>
      <c r="S66" s="71">
        <v>0</v>
      </c>
      <c r="T66" s="71">
        <v>0</v>
      </c>
      <c r="U66" s="81"/>
      <c r="V66" s="101" t="s">
        <v>169</v>
      </c>
      <c r="W66" s="79" t="s">
        <v>138</v>
      </c>
      <c r="X66" s="79" t="s">
        <v>138</v>
      </c>
      <c r="Y66" s="119" t="s">
        <v>394</v>
      </c>
      <c r="Z66" s="80" t="s">
        <v>254</v>
      </c>
      <c r="AA66" s="80"/>
      <c r="AC66" s="46"/>
      <c r="AD66" s="93">
        <f t="shared" si="3"/>
        <v>0</v>
      </c>
      <c r="AF66" s="46"/>
      <c r="AH66" s="46"/>
    </row>
    <row r="67" spans="1:34" s="44" customFormat="1" ht="237" customHeight="1" x14ac:dyDescent="0.35">
      <c r="A67" s="47" t="s">
        <v>53</v>
      </c>
      <c r="B67" s="77" t="s">
        <v>256</v>
      </c>
      <c r="C67" s="78"/>
      <c r="D67" s="71">
        <v>0</v>
      </c>
      <c r="E67" s="71">
        <v>0</v>
      </c>
      <c r="F67" s="71">
        <v>0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81"/>
      <c r="V67" s="101" t="s">
        <v>346</v>
      </c>
      <c r="W67" s="79" t="s">
        <v>95</v>
      </c>
      <c r="X67" s="202" t="s">
        <v>345</v>
      </c>
      <c r="Y67" s="119" t="s">
        <v>465</v>
      </c>
      <c r="Z67" s="80" t="s">
        <v>205</v>
      </c>
      <c r="AA67" s="80" t="s">
        <v>392</v>
      </c>
      <c r="AC67" s="46"/>
      <c r="AD67" s="93">
        <f t="shared" si="3"/>
        <v>0</v>
      </c>
      <c r="AF67" s="46"/>
      <c r="AH67" s="46"/>
    </row>
    <row r="68" spans="1:34" s="44" customFormat="1" ht="261" customHeight="1" x14ac:dyDescent="0.35">
      <c r="A68" s="47" t="s">
        <v>70</v>
      </c>
      <c r="B68" s="77" t="s">
        <v>71</v>
      </c>
      <c r="C68" s="78" t="s">
        <v>140</v>
      </c>
      <c r="D68" s="71">
        <v>0</v>
      </c>
      <c r="E68" s="71">
        <v>0</v>
      </c>
      <c r="F68" s="71">
        <v>0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0</v>
      </c>
      <c r="M68" s="71">
        <v>0</v>
      </c>
      <c r="N68" s="71">
        <v>0</v>
      </c>
      <c r="O68" s="71">
        <v>0</v>
      </c>
      <c r="P68" s="71">
        <v>0</v>
      </c>
      <c r="Q68" s="71">
        <v>0</v>
      </c>
      <c r="R68" s="71">
        <v>0</v>
      </c>
      <c r="S68" s="71">
        <v>0</v>
      </c>
      <c r="T68" s="71">
        <v>0</v>
      </c>
      <c r="U68" s="81"/>
      <c r="V68" s="101" t="s">
        <v>170</v>
      </c>
      <c r="W68" s="79" t="s">
        <v>171</v>
      </c>
      <c r="X68" s="79">
        <v>45000</v>
      </c>
      <c r="Y68" s="78" t="s">
        <v>138</v>
      </c>
      <c r="Z68" s="80" t="s">
        <v>395</v>
      </c>
      <c r="AA68" s="119" t="s">
        <v>392</v>
      </c>
      <c r="AC68" s="46"/>
      <c r="AD68" s="93">
        <f t="shared" si="3"/>
        <v>0</v>
      </c>
      <c r="AF68" s="46"/>
      <c r="AH68" s="46"/>
    </row>
    <row r="69" spans="1:34" s="44" customFormat="1" ht="87" customHeight="1" x14ac:dyDescent="0.35">
      <c r="A69" s="47" t="s">
        <v>72</v>
      </c>
      <c r="B69" s="77" t="s">
        <v>73</v>
      </c>
      <c r="C69" s="78" t="s">
        <v>140</v>
      </c>
      <c r="D69" s="71">
        <v>0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81"/>
      <c r="V69" s="101" t="s">
        <v>359</v>
      </c>
      <c r="W69" s="79" t="s">
        <v>360</v>
      </c>
      <c r="X69" s="79">
        <v>1</v>
      </c>
      <c r="Y69" s="78" t="s">
        <v>138</v>
      </c>
      <c r="Z69" s="80" t="s">
        <v>255</v>
      </c>
      <c r="AA69" s="80" t="s">
        <v>448</v>
      </c>
      <c r="AC69" s="46"/>
      <c r="AD69" s="93">
        <f t="shared" si="3"/>
        <v>0</v>
      </c>
      <c r="AF69" s="46"/>
      <c r="AH69" s="46"/>
    </row>
    <row r="70" spans="1:34" s="44" customFormat="1" ht="168" customHeight="1" x14ac:dyDescent="0.35">
      <c r="A70" s="47" t="s">
        <v>246</v>
      </c>
      <c r="B70" s="77" t="s">
        <v>257</v>
      </c>
      <c r="C70" s="78" t="s">
        <v>140</v>
      </c>
      <c r="D70" s="71">
        <v>0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71">
        <v>0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81"/>
      <c r="V70" s="101" t="s">
        <v>252</v>
      </c>
      <c r="W70" s="79" t="s">
        <v>164</v>
      </c>
      <c r="X70" s="79">
        <v>5</v>
      </c>
      <c r="Y70" s="78">
        <v>17</v>
      </c>
      <c r="Z70" s="80" t="s">
        <v>254</v>
      </c>
      <c r="AA70" s="80"/>
      <c r="AC70" s="46"/>
      <c r="AD70" s="93">
        <f t="shared" si="3"/>
        <v>0</v>
      </c>
      <c r="AF70" s="46"/>
      <c r="AH70" s="46"/>
    </row>
    <row r="71" spans="1:34" s="44" customFormat="1" ht="409.5" x14ac:dyDescent="0.35">
      <c r="A71" s="47" t="s">
        <v>74</v>
      </c>
      <c r="B71" s="77" t="s">
        <v>75</v>
      </c>
      <c r="C71" s="78" t="s">
        <v>140</v>
      </c>
      <c r="D71" s="71">
        <v>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81"/>
      <c r="V71" s="101" t="s">
        <v>172</v>
      </c>
      <c r="W71" s="79" t="s">
        <v>138</v>
      </c>
      <c r="X71" s="79" t="s">
        <v>138</v>
      </c>
      <c r="Y71" s="207" t="s">
        <v>479</v>
      </c>
      <c r="Z71" s="80" t="s">
        <v>254</v>
      </c>
      <c r="AA71" s="119"/>
      <c r="AC71" s="46"/>
      <c r="AD71" s="93">
        <f t="shared" si="3"/>
        <v>0</v>
      </c>
      <c r="AF71" s="46"/>
      <c r="AH71" s="46"/>
    </row>
    <row r="72" spans="1:34" s="44" customFormat="1" ht="82.5" customHeight="1" x14ac:dyDescent="0.35">
      <c r="A72" s="47" t="s">
        <v>76</v>
      </c>
      <c r="B72" s="77" t="s">
        <v>77</v>
      </c>
      <c r="C72" s="78" t="s">
        <v>140</v>
      </c>
      <c r="D72" s="71">
        <v>0</v>
      </c>
      <c r="E72" s="71">
        <v>0</v>
      </c>
      <c r="F72" s="71">
        <v>0</v>
      </c>
      <c r="G72" s="71">
        <v>0</v>
      </c>
      <c r="H72" s="71">
        <v>0</v>
      </c>
      <c r="I72" s="71">
        <v>0</v>
      </c>
      <c r="J72" s="71">
        <v>0</v>
      </c>
      <c r="K72" s="71">
        <v>0</v>
      </c>
      <c r="L72" s="71">
        <v>0</v>
      </c>
      <c r="M72" s="71">
        <v>0</v>
      </c>
      <c r="N72" s="71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81"/>
      <c r="V72" s="101" t="s">
        <v>173</v>
      </c>
      <c r="W72" s="79" t="s">
        <v>164</v>
      </c>
      <c r="X72" s="102">
        <v>4</v>
      </c>
      <c r="Y72" s="119">
        <v>3</v>
      </c>
      <c r="Z72" s="80" t="s">
        <v>205</v>
      </c>
      <c r="AA72" s="80" t="s">
        <v>392</v>
      </c>
      <c r="AC72" s="46"/>
      <c r="AD72" s="93">
        <f t="shared" si="3"/>
        <v>0</v>
      </c>
      <c r="AF72" s="46"/>
      <c r="AH72" s="46"/>
    </row>
    <row r="73" spans="1:34" s="44" customFormat="1" ht="272.25" customHeight="1" x14ac:dyDescent="0.35">
      <c r="A73" s="47" t="s">
        <v>78</v>
      </c>
      <c r="B73" s="77" t="s">
        <v>79</v>
      </c>
      <c r="C73" s="78" t="s">
        <v>140</v>
      </c>
      <c r="D73" s="71">
        <v>0</v>
      </c>
      <c r="E73" s="71">
        <v>0</v>
      </c>
      <c r="F73" s="71">
        <v>0</v>
      </c>
      <c r="G73" s="71">
        <v>0</v>
      </c>
      <c r="H73" s="71">
        <v>0</v>
      </c>
      <c r="I73" s="71">
        <v>0</v>
      </c>
      <c r="J73" s="71">
        <v>0</v>
      </c>
      <c r="K73" s="71">
        <v>0</v>
      </c>
      <c r="L73" s="71">
        <v>0</v>
      </c>
      <c r="M73" s="71">
        <v>0</v>
      </c>
      <c r="N73" s="71">
        <v>0</v>
      </c>
      <c r="O73" s="71">
        <v>0</v>
      </c>
      <c r="P73" s="71">
        <v>0</v>
      </c>
      <c r="Q73" s="71">
        <v>0</v>
      </c>
      <c r="R73" s="71">
        <v>0</v>
      </c>
      <c r="S73" s="71">
        <v>0</v>
      </c>
      <c r="T73" s="71">
        <v>0</v>
      </c>
      <c r="U73" s="81"/>
      <c r="V73" s="79" t="s">
        <v>174</v>
      </c>
      <c r="W73" s="79" t="s">
        <v>164</v>
      </c>
      <c r="X73" s="102">
        <v>1000</v>
      </c>
      <c r="Y73" s="119">
        <v>605</v>
      </c>
      <c r="Z73" s="80" t="s">
        <v>205</v>
      </c>
      <c r="AA73" s="80" t="s">
        <v>392</v>
      </c>
      <c r="AC73" s="46"/>
      <c r="AD73" s="93">
        <f t="shared" si="3"/>
        <v>0</v>
      </c>
      <c r="AF73" s="46"/>
      <c r="AH73" s="46"/>
    </row>
    <row r="74" spans="1:34" s="44" customFormat="1" ht="269.25" customHeight="1" x14ac:dyDescent="0.35">
      <c r="A74" s="47" t="s">
        <v>258</v>
      </c>
      <c r="B74" s="77" t="s">
        <v>259</v>
      </c>
      <c r="C74" s="78" t="s">
        <v>140</v>
      </c>
      <c r="D74" s="71">
        <v>0</v>
      </c>
      <c r="E74" s="71">
        <v>590</v>
      </c>
      <c r="F74" s="71">
        <v>0</v>
      </c>
      <c r="G74" s="71">
        <v>0</v>
      </c>
      <c r="H74" s="71">
        <v>0</v>
      </c>
      <c r="I74" s="71">
        <v>0</v>
      </c>
      <c r="J74" s="71">
        <v>0</v>
      </c>
      <c r="K74" s="71">
        <v>590</v>
      </c>
      <c r="L74" s="71">
        <v>0</v>
      </c>
      <c r="M74" s="71">
        <v>0</v>
      </c>
      <c r="N74" s="71">
        <v>0</v>
      </c>
      <c r="O74" s="71">
        <v>0</v>
      </c>
      <c r="P74" s="71">
        <v>590</v>
      </c>
      <c r="Q74" s="71">
        <v>0</v>
      </c>
      <c r="R74" s="71">
        <v>0</v>
      </c>
      <c r="S74" s="71">
        <v>0</v>
      </c>
      <c r="T74" s="71">
        <v>590</v>
      </c>
      <c r="U74" s="81"/>
      <c r="V74" s="79" t="s">
        <v>253</v>
      </c>
      <c r="W74" s="79" t="s">
        <v>360</v>
      </c>
      <c r="X74" s="79">
        <v>2</v>
      </c>
      <c r="Y74" s="119" t="s">
        <v>466</v>
      </c>
      <c r="Z74" s="80" t="s">
        <v>254</v>
      </c>
      <c r="AA74" s="80"/>
      <c r="AD74" s="93">
        <f t="shared" si="3"/>
        <v>0</v>
      </c>
    </row>
    <row r="75" spans="1:34" s="44" customFormat="1" ht="122.25" customHeight="1" x14ac:dyDescent="0.35">
      <c r="A75" s="45"/>
      <c r="B75" s="174" t="s">
        <v>29</v>
      </c>
      <c r="C75" s="215">
        <v>0</v>
      </c>
      <c r="D75" s="113">
        <f>SUM(D76+D77+D79+D78)</f>
        <v>418</v>
      </c>
      <c r="E75" s="113">
        <f t="shared" ref="E75:T75" si="4">SUM(E76+E77+E79+E78)</f>
        <v>132</v>
      </c>
      <c r="F75" s="113">
        <f t="shared" si="4"/>
        <v>0</v>
      </c>
      <c r="G75" s="113">
        <f t="shared" si="4"/>
        <v>0</v>
      </c>
      <c r="H75" s="113">
        <f t="shared" si="4"/>
        <v>0</v>
      </c>
      <c r="I75" s="113">
        <f t="shared" si="4"/>
        <v>418</v>
      </c>
      <c r="J75" s="113">
        <f t="shared" si="4"/>
        <v>0</v>
      </c>
      <c r="K75" s="113">
        <f t="shared" si="4"/>
        <v>132</v>
      </c>
      <c r="L75" s="113">
        <f t="shared" si="4"/>
        <v>0</v>
      </c>
      <c r="M75" s="113">
        <f t="shared" si="4"/>
        <v>0</v>
      </c>
      <c r="N75" s="113">
        <f t="shared" si="4"/>
        <v>43.5</v>
      </c>
      <c r="O75" s="113">
        <f t="shared" si="4"/>
        <v>0</v>
      </c>
      <c r="P75" s="113">
        <f t="shared" si="4"/>
        <v>13.8</v>
      </c>
      <c r="Q75" s="113">
        <f t="shared" si="4"/>
        <v>0</v>
      </c>
      <c r="R75" s="113">
        <f t="shared" si="4"/>
        <v>0</v>
      </c>
      <c r="S75" s="113">
        <f t="shared" si="4"/>
        <v>0</v>
      </c>
      <c r="T75" s="113">
        <f t="shared" si="4"/>
        <v>57.3</v>
      </c>
      <c r="U75" s="71"/>
      <c r="V75" s="80"/>
      <c r="W75" s="81"/>
      <c r="X75" s="81"/>
      <c r="Y75" s="81"/>
      <c r="Z75" s="80"/>
      <c r="AA75" s="80"/>
      <c r="AB75" s="44">
        <v>382.6</v>
      </c>
      <c r="AC75" s="46">
        <f>AB75-N75-P75</f>
        <v>325.3</v>
      </c>
      <c r="AD75" s="93">
        <f t="shared" si="3"/>
        <v>492.7</v>
      </c>
    </row>
    <row r="76" spans="1:34" s="44" customFormat="1" ht="183" customHeight="1" x14ac:dyDescent="0.35">
      <c r="A76" s="97" t="s">
        <v>31</v>
      </c>
      <c r="B76" s="179" t="s">
        <v>182</v>
      </c>
      <c r="C76" s="78" t="s">
        <v>140</v>
      </c>
      <c r="D76" s="72">
        <v>76</v>
      </c>
      <c r="E76" s="72">
        <v>24</v>
      </c>
      <c r="F76" s="72">
        <v>0</v>
      </c>
      <c r="G76" s="72">
        <v>0</v>
      </c>
      <c r="H76" s="72">
        <v>0</v>
      </c>
      <c r="I76" s="72">
        <v>76</v>
      </c>
      <c r="J76" s="72">
        <v>0</v>
      </c>
      <c r="K76" s="72">
        <v>24</v>
      </c>
      <c r="L76" s="72">
        <v>0</v>
      </c>
      <c r="M76" s="72">
        <v>0</v>
      </c>
      <c r="N76" s="72">
        <v>0</v>
      </c>
      <c r="O76" s="72">
        <v>0</v>
      </c>
      <c r="P76" s="72">
        <v>0</v>
      </c>
      <c r="Q76" s="72">
        <v>0</v>
      </c>
      <c r="R76" s="72">
        <v>0</v>
      </c>
      <c r="S76" s="71">
        <v>0</v>
      </c>
      <c r="T76" s="72">
        <v>0</v>
      </c>
      <c r="U76" s="81"/>
      <c r="V76" s="119" t="s">
        <v>391</v>
      </c>
      <c r="W76" s="119" t="s">
        <v>138</v>
      </c>
      <c r="X76" s="119" t="s">
        <v>391</v>
      </c>
      <c r="Y76" s="119">
        <v>0</v>
      </c>
      <c r="Z76" s="80" t="s">
        <v>205</v>
      </c>
      <c r="AA76" s="80" t="s">
        <v>447</v>
      </c>
      <c r="AD76" s="93">
        <f t="shared" si="3"/>
        <v>100</v>
      </c>
    </row>
    <row r="77" spans="1:34" s="44" customFormat="1" ht="144.75" customHeight="1" x14ac:dyDescent="0.35">
      <c r="A77" s="97" t="s">
        <v>183</v>
      </c>
      <c r="B77" s="179" t="s">
        <v>184</v>
      </c>
      <c r="C77" s="78" t="s">
        <v>141</v>
      </c>
      <c r="D77" s="72">
        <v>190</v>
      </c>
      <c r="E77" s="72">
        <v>60</v>
      </c>
      <c r="F77" s="72">
        <v>0</v>
      </c>
      <c r="G77" s="72">
        <v>0</v>
      </c>
      <c r="H77" s="72">
        <v>0</v>
      </c>
      <c r="I77" s="72">
        <v>190</v>
      </c>
      <c r="J77" s="72">
        <v>0</v>
      </c>
      <c r="K77" s="72">
        <v>60</v>
      </c>
      <c r="L77" s="72">
        <v>0</v>
      </c>
      <c r="M77" s="72">
        <v>0</v>
      </c>
      <c r="N77" s="72">
        <v>43.5</v>
      </c>
      <c r="O77" s="72">
        <v>0</v>
      </c>
      <c r="P77" s="71">
        <v>13.8</v>
      </c>
      <c r="Q77" s="72">
        <v>0</v>
      </c>
      <c r="R77" s="72">
        <v>0</v>
      </c>
      <c r="S77" s="71">
        <v>0</v>
      </c>
      <c r="T77" s="72">
        <v>57.3</v>
      </c>
      <c r="U77" s="79"/>
      <c r="V77" s="180" t="s">
        <v>260</v>
      </c>
      <c r="W77" s="119" t="s">
        <v>105</v>
      </c>
      <c r="X77" s="121">
        <v>50</v>
      </c>
      <c r="Y77" s="121">
        <v>12</v>
      </c>
      <c r="Z77" s="80" t="s">
        <v>205</v>
      </c>
      <c r="AA77" s="80" t="s">
        <v>392</v>
      </c>
      <c r="AD77" s="93">
        <f t="shared" si="3"/>
        <v>192.7</v>
      </c>
    </row>
    <row r="78" spans="1:34" s="44" customFormat="1" ht="227.25" customHeight="1" x14ac:dyDescent="0.35">
      <c r="A78" s="97" t="s">
        <v>186</v>
      </c>
      <c r="B78" s="179" t="s">
        <v>185</v>
      </c>
      <c r="C78" s="78" t="s">
        <v>140</v>
      </c>
      <c r="D78" s="72">
        <v>24.7</v>
      </c>
      <c r="E78" s="72">
        <v>7.8</v>
      </c>
      <c r="F78" s="72">
        <v>0</v>
      </c>
      <c r="G78" s="72">
        <v>0</v>
      </c>
      <c r="H78" s="72">
        <v>0</v>
      </c>
      <c r="I78" s="72">
        <v>24.7</v>
      </c>
      <c r="J78" s="72">
        <v>0</v>
      </c>
      <c r="K78" s="72">
        <v>7.8</v>
      </c>
      <c r="L78" s="72">
        <v>0</v>
      </c>
      <c r="M78" s="72">
        <v>0</v>
      </c>
      <c r="N78" s="72">
        <v>0</v>
      </c>
      <c r="O78" s="72">
        <v>0</v>
      </c>
      <c r="P78" s="72">
        <v>0</v>
      </c>
      <c r="Q78" s="72">
        <v>0</v>
      </c>
      <c r="R78" s="72">
        <v>0</v>
      </c>
      <c r="S78" s="71">
        <v>0</v>
      </c>
      <c r="T78" s="72">
        <v>0</v>
      </c>
      <c r="U78" s="81"/>
      <c r="V78" s="119" t="s">
        <v>175</v>
      </c>
      <c r="W78" s="119" t="s">
        <v>105</v>
      </c>
      <c r="X78" s="121">
        <v>5</v>
      </c>
      <c r="Y78" s="121">
        <v>0</v>
      </c>
      <c r="Z78" s="80" t="s">
        <v>205</v>
      </c>
      <c r="AA78" s="80" t="s">
        <v>392</v>
      </c>
      <c r="AD78" s="93">
        <f t="shared" si="3"/>
        <v>32.5</v>
      </c>
    </row>
    <row r="79" spans="1:34" s="26" customFormat="1" ht="176.25" customHeight="1" x14ac:dyDescent="0.35">
      <c r="A79" s="97" t="s">
        <v>188</v>
      </c>
      <c r="B79" s="179" t="s">
        <v>187</v>
      </c>
      <c r="C79" s="78" t="s">
        <v>140</v>
      </c>
      <c r="D79" s="72">
        <v>127.3</v>
      </c>
      <c r="E79" s="72">
        <v>40.200000000000003</v>
      </c>
      <c r="F79" s="72">
        <v>0</v>
      </c>
      <c r="G79" s="72">
        <v>0</v>
      </c>
      <c r="H79" s="72">
        <v>0</v>
      </c>
      <c r="I79" s="72">
        <v>127.3</v>
      </c>
      <c r="J79" s="72">
        <v>0</v>
      </c>
      <c r="K79" s="72">
        <v>40.200000000000003</v>
      </c>
      <c r="L79" s="72">
        <v>0</v>
      </c>
      <c r="M79" s="72">
        <v>0</v>
      </c>
      <c r="N79" s="72">
        <v>0</v>
      </c>
      <c r="O79" s="72">
        <v>0</v>
      </c>
      <c r="P79" s="72">
        <v>0</v>
      </c>
      <c r="Q79" s="72">
        <v>0</v>
      </c>
      <c r="R79" s="72">
        <v>0</v>
      </c>
      <c r="S79" s="71">
        <v>0</v>
      </c>
      <c r="T79" s="72">
        <v>0</v>
      </c>
      <c r="U79" s="79"/>
      <c r="V79" s="119" t="s">
        <v>361</v>
      </c>
      <c r="W79" s="119" t="s">
        <v>105</v>
      </c>
      <c r="X79" s="121">
        <v>10</v>
      </c>
      <c r="Y79" s="121">
        <v>0</v>
      </c>
      <c r="Z79" s="80" t="s">
        <v>205</v>
      </c>
      <c r="AA79" s="80" t="s">
        <v>392</v>
      </c>
      <c r="AD79" s="93">
        <f t="shared" si="3"/>
        <v>167.5</v>
      </c>
    </row>
    <row r="80" spans="1:34" ht="96" customHeight="1" x14ac:dyDescent="0.35">
      <c r="A80" s="98" t="s">
        <v>204</v>
      </c>
      <c r="B80" s="181" t="s">
        <v>91</v>
      </c>
      <c r="C80" s="78" t="s">
        <v>140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95">
        <v>0</v>
      </c>
      <c r="R80" s="95">
        <v>0</v>
      </c>
      <c r="S80" s="71">
        <v>0</v>
      </c>
      <c r="T80" s="95">
        <v>0</v>
      </c>
      <c r="U80" s="81"/>
      <c r="V80" s="119" t="s">
        <v>207</v>
      </c>
      <c r="W80" s="119" t="s">
        <v>105</v>
      </c>
      <c r="X80" s="121">
        <v>350</v>
      </c>
      <c r="Y80" s="121">
        <v>50</v>
      </c>
      <c r="Z80" s="80" t="s">
        <v>205</v>
      </c>
      <c r="AA80" s="80" t="s">
        <v>392</v>
      </c>
      <c r="AD80" s="93">
        <f t="shared" si="3"/>
        <v>0</v>
      </c>
    </row>
    <row r="81" spans="1:30" ht="25.5" customHeight="1" x14ac:dyDescent="0.35">
      <c r="A81" s="48"/>
      <c r="B81" s="49"/>
      <c r="C81" s="49"/>
      <c r="D81" s="49"/>
      <c r="E81" s="49"/>
      <c r="F81" s="49"/>
      <c r="G81" s="49"/>
      <c r="H81" s="49"/>
      <c r="I81" s="115"/>
      <c r="J81" s="115"/>
      <c r="K81" s="115"/>
      <c r="L81" s="49"/>
      <c r="M81" s="49"/>
      <c r="N81" s="115"/>
      <c r="O81" s="115"/>
      <c r="P81" s="115"/>
      <c r="Q81" s="49"/>
      <c r="R81" s="38"/>
      <c r="S81" s="38"/>
      <c r="T81" s="74"/>
      <c r="U81" s="38"/>
      <c r="V81" s="38"/>
      <c r="W81" s="38"/>
      <c r="X81" s="38"/>
      <c r="Y81" s="74"/>
      <c r="Z81" s="38"/>
      <c r="AA81" s="38"/>
    </row>
    <row r="82" spans="1:30" ht="21" customHeight="1" x14ac:dyDescent="0.35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</row>
    <row r="83" spans="1:30" ht="14.25" hidden="1" customHeight="1" x14ac:dyDescent="0.35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</row>
    <row r="84" spans="1:30" s="50" customFormat="1" ht="15.75" hidden="1" customHeight="1" x14ac:dyDescent="0.35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D84" s="94"/>
    </row>
    <row r="85" spans="1:30" s="50" customFormat="1" ht="15.75" hidden="1" customHeight="1" x14ac:dyDescent="0.35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D85" s="94"/>
    </row>
    <row r="86" spans="1:30" s="50" customFormat="1" ht="15.75" hidden="1" customHeight="1" x14ac:dyDescent="0.35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  <c r="AA86" s="231"/>
      <c r="AD86" s="94"/>
    </row>
    <row r="87" spans="1:30" s="50" customFormat="1" ht="15.75" hidden="1" customHeight="1" x14ac:dyDescent="0.35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D87" s="94"/>
    </row>
    <row r="88" spans="1:30" s="50" customFormat="1" ht="16.5" hidden="1" customHeight="1" x14ac:dyDescent="0.35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  <c r="AA88" s="231"/>
      <c r="AD88" s="94"/>
    </row>
    <row r="89" spans="1:30" ht="18" hidden="1" customHeight="1" x14ac:dyDescent="0.35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  <c r="AA89" s="231"/>
    </row>
    <row r="90" spans="1:30" ht="56.25" customHeight="1" x14ac:dyDescent="0.35">
      <c r="A90" s="230" t="s">
        <v>365</v>
      </c>
      <c r="B90" s="230"/>
      <c r="C90" s="230"/>
      <c r="D90" s="230"/>
      <c r="E90" s="230"/>
      <c r="F90" s="230"/>
      <c r="G90" s="105"/>
      <c r="H90" s="24"/>
      <c r="I90" s="116"/>
      <c r="J90" s="117"/>
      <c r="K90" s="117"/>
      <c r="L90" s="106"/>
      <c r="M90" s="105"/>
      <c r="N90" s="109"/>
      <c r="O90" s="109"/>
      <c r="P90" s="109"/>
      <c r="Q90" s="105"/>
      <c r="R90" s="105"/>
      <c r="S90" s="107"/>
      <c r="T90" s="108"/>
      <c r="U90" s="107"/>
      <c r="V90" s="107"/>
      <c r="W90" s="107"/>
      <c r="X90" s="107"/>
      <c r="Y90" s="130"/>
      <c r="Z90" s="130"/>
      <c r="AA90" s="131"/>
    </row>
    <row r="91" spans="1:30" ht="17.25" customHeight="1" x14ac:dyDescent="0.35">
      <c r="A91" s="105" t="s">
        <v>364</v>
      </c>
      <c r="B91" s="24"/>
      <c r="C91" s="24"/>
      <c r="D91" s="24"/>
      <c r="E91" s="105"/>
      <c r="F91" s="105"/>
      <c r="G91" s="105"/>
      <c r="H91" s="106"/>
      <c r="I91" s="117"/>
      <c r="J91" s="109"/>
      <c r="K91" s="109"/>
      <c r="L91" s="105"/>
      <c r="M91" s="105"/>
      <c r="N91" s="109"/>
      <c r="O91" s="109"/>
      <c r="P91" s="109"/>
      <c r="Q91" s="105"/>
      <c r="R91" s="105"/>
      <c r="S91" s="107"/>
      <c r="T91" s="109"/>
      <c r="U91" s="107"/>
      <c r="V91" s="107"/>
      <c r="W91" s="107"/>
      <c r="X91" s="107"/>
      <c r="Y91" s="232" t="s">
        <v>363</v>
      </c>
      <c r="Z91" s="232"/>
      <c r="AA91" s="232"/>
    </row>
    <row r="92" spans="1:30" ht="53.25" customHeight="1" x14ac:dyDescent="0.35">
      <c r="A92" s="63" t="s">
        <v>396</v>
      </c>
      <c r="B92" s="22"/>
      <c r="C92" s="26"/>
      <c r="D92" s="26"/>
      <c r="E92" s="26"/>
      <c r="F92" s="26"/>
      <c r="G92" s="26"/>
      <c r="H92" s="26"/>
      <c r="I92" s="66"/>
      <c r="J92" s="66"/>
      <c r="K92" s="66"/>
      <c r="L92" s="26"/>
      <c r="M92" s="26"/>
      <c r="N92" s="66"/>
      <c r="O92" s="66"/>
      <c r="P92" s="66"/>
      <c r="Q92" s="26"/>
      <c r="Y92" s="35"/>
      <c r="Z92" s="35"/>
      <c r="AA92" s="35"/>
    </row>
    <row r="93" spans="1:30" ht="16.149999999999999" customHeight="1" x14ac:dyDescent="0.35">
      <c r="A93" s="104" t="s">
        <v>397</v>
      </c>
      <c r="B93" s="22"/>
      <c r="Y93" s="35"/>
      <c r="Z93" s="35"/>
      <c r="AA93" s="35"/>
    </row>
    <row r="94" spans="1:30" ht="16.149999999999999" customHeight="1" x14ac:dyDescent="0.35">
      <c r="A94" s="26"/>
      <c r="Y94" s="35"/>
      <c r="Z94" s="35"/>
      <c r="AA94" s="35"/>
    </row>
    <row r="95" spans="1:30" x14ac:dyDescent="0.35">
      <c r="A95" s="68"/>
      <c r="Y95" s="35"/>
      <c r="Z95" s="35"/>
      <c r="AA95" s="35"/>
    </row>
    <row r="96" spans="1:30" x14ac:dyDescent="0.35">
      <c r="Y96" s="35"/>
      <c r="Z96" s="35"/>
      <c r="AA96" s="35"/>
    </row>
    <row r="97" spans="25:27" x14ac:dyDescent="0.35">
      <c r="Y97" s="35"/>
      <c r="Z97" s="35"/>
      <c r="AA97" s="35"/>
    </row>
  </sheetData>
  <autoFilter ref="A11:AH80"/>
  <mergeCells count="28">
    <mergeCell ref="A82:AA82"/>
    <mergeCell ref="A83:AA83"/>
    <mergeCell ref="A84:AA84"/>
    <mergeCell ref="A85:AA85"/>
    <mergeCell ref="A86:AA86"/>
    <mergeCell ref="A90:F90"/>
    <mergeCell ref="A87:AA87"/>
    <mergeCell ref="A88:AA88"/>
    <mergeCell ref="A89:AA89"/>
    <mergeCell ref="Y91:AA91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1:AA1"/>
    <mergeCell ref="A2:AA2"/>
    <mergeCell ref="A3:AA3"/>
    <mergeCell ref="A4:AA4"/>
    <mergeCell ref="A5:AA5"/>
  </mergeCells>
  <printOptions horizontalCentered="1"/>
  <pageMargins left="0.59055118110236227" right="0.39370078740157483" top="0.78740157480314965" bottom="0.39370078740157483" header="0.31496062992125984" footer="0.31496062992125984"/>
  <pageSetup paperSize="9" scale="44" fitToHeight="0" orientation="landscape" r:id="rId1"/>
  <rowBreaks count="6" manualBreakCount="6">
    <brk id="30" max="26" man="1"/>
    <brk id="34" max="26" man="1"/>
    <brk id="38" max="26" man="1"/>
    <brk id="40" max="26" man="1"/>
    <brk id="45" max="26" man="1"/>
    <brk id="50" max="26" man="1"/>
  </rowBreaks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69"/>
  <sheetViews>
    <sheetView tabSelected="1" view="pageBreakPreview" zoomScale="60" workbookViewId="0">
      <selection activeCell="G25" sqref="G25"/>
    </sheetView>
  </sheetViews>
  <sheetFormatPr defaultRowHeight="15.75" x14ac:dyDescent="0.25"/>
  <cols>
    <col min="1" max="1" width="10.85546875" style="1" customWidth="1"/>
    <col min="2" max="2" width="69.5703125" style="1" customWidth="1"/>
    <col min="3" max="3" width="10.28515625" style="1" customWidth="1"/>
    <col min="4" max="4" width="16.28515625" style="1" customWidth="1"/>
    <col min="5" max="5" width="10" style="1" customWidth="1"/>
    <col min="6" max="6" width="17.28515625" style="32" customWidth="1"/>
    <col min="7" max="7" width="29.42578125" style="66" customWidth="1"/>
    <col min="8" max="16384" width="9.140625" style="1"/>
  </cols>
  <sheetData>
    <row r="1" spans="1:22" ht="17.25" customHeight="1" x14ac:dyDescent="0.25">
      <c r="A1" s="244" t="s">
        <v>6</v>
      </c>
      <c r="B1" s="244"/>
      <c r="C1" s="244"/>
      <c r="D1" s="244"/>
      <c r="E1" s="244"/>
      <c r="F1" s="244"/>
      <c r="G1" s="244"/>
      <c r="K1" s="244"/>
      <c r="L1" s="244"/>
      <c r="M1" s="244"/>
      <c r="N1" s="244"/>
      <c r="O1" s="244"/>
    </row>
    <row r="2" spans="1:22" x14ac:dyDescent="0.25">
      <c r="A2" s="244" t="s">
        <v>8</v>
      </c>
      <c r="B2" s="244"/>
      <c r="C2" s="244"/>
      <c r="D2" s="244"/>
      <c r="E2" s="244"/>
      <c r="F2" s="244"/>
      <c r="G2" s="244"/>
      <c r="K2" s="244"/>
      <c r="L2" s="244"/>
      <c r="M2" s="244"/>
      <c r="N2" s="244"/>
      <c r="O2" s="244"/>
    </row>
    <row r="3" spans="1:22" x14ac:dyDescent="0.25">
      <c r="A3" s="244" t="s">
        <v>137</v>
      </c>
      <c r="B3" s="244"/>
      <c r="C3" s="244"/>
      <c r="D3" s="244"/>
      <c r="E3" s="244"/>
      <c r="F3" s="244"/>
      <c r="G3" s="244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45" t="s">
        <v>4</v>
      </c>
      <c r="B4" s="245"/>
      <c r="C4" s="245"/>
      <c r="D4" s="245"/>
      <c r="E4" s="245"/>
      <c r="F4" s="245"/>
      <c r="G4" s="245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46" t="s">
        <v>473</v>
      </c>
      <c r="B5" s="246"/>
      <c r="C5" s="246"/>
      <c r="D5" s="246"/>
      <c r="E5" s="246"/>
      <c r="F5" s="246"/>
      <c r="G5" s="246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2" customHeight="1" x14ac:dyDescent="0.25">
      <c r="A6" s="223"/>
      <c r="B6" s="223"/>
      <c r="C6" s="223"/>
      <c r="D6" s="223"/>
      <c r="E6" s="223"/>
      <c r="F6" s="223"/>
      <c r="G6" s="223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0.75" customHeight="1" x14ac:dyDescent="0.25">
      <c r="A7" s="63"/>
      <c r="B7" s="75"/>
      <c r="C7" s="63"/>
      <c r="D7" s="63"/>
      <c r="E7" s="63"/>
      <c r="G7" s="26"/>
    </row>
    <row r="8" spans="1:22" ht="18.75" customHeight="1" x14ac:dyDescent="0.25">
      <c r="A8" s="227" t="s">
        <v>211</v>
      </c>
      <c r="B8" s="225" t="s">
        <v>9</v>
      </c>
      <c r="C8" s="225" t="s">
        <v>5</v>
      </c>
      <c r="D8" s="240" t="s">
        <v>25</v>
      </c>
      <c r="E8" s="240"/>
      <c r="F8" s="240"/>
      <c r="G8" s="225" t="s">
        <v>413</v>
      </c>
    </row>
    <row r="9" spans="1:22" ht="59.25" customHeight="1" x14ac:dyDescent="0.25">
      <c r="A9" s="227"/>
      <c r="B9" s="225"/>
      <c r="C9" s="225"/>
      <c r="D9" s="87" t="s">
        <v>475</v>
      </c>
      <c r="E9" s="225" t="s">
        <v>26</v>
      </c>
      <c r="F9" s="225"/>
      <c r="G9" s="225"/>
    </row>
    <row r="10" spans="1:22" ht="15.75" customHeight="1" x14ac:dyDescent="0.25">
      <c r="A10" s="227"/>
      <c r="B10" s="225"/>
      <c r="C10" s="225"/>
      <c r="D10" s="87" t="s">
        <v>13</v>
      </c>
      <c r="E10" s="87" t="s">
        <v>12</v>
      </c>
      <c r="F10" s="101" t="s">
        <v>13</v>
      </c>
      <c r="G10" s="225"/>
    </row>
    <row r="11" spans="1:22" x14ac:dyDescent="0.25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101">
        <v>6</v>
      </c>
      <c r="G11" s="87">
        <v>7</v>
      </c>
    </row>
    <row r="12" spans="1:22" ht="35.25" customHeight="1" x14ac:dyDescent="0.25">
      <c r="A12" s="51"/>
      <c r="B12" s="52" t="s">
        <v>92</v>
      </c>
      <c r="C12" s="55"/>
      <c r="D12" s="87"/>
      <c r="E12" s="55"/>
      <c r="F12" s="101"/>
      <c r="G12" s="87"/>
    </row>
    <row r="13" spans="1:22" ht="138.75" customHeight="1" x14ac:dyDescent="0.25">
      <c r="A13" s="206" t="s">
        <v>93</v>
      </c>
      <c r="B13" s="67" t="s">
        <v>94</v>
      </c>
      <c r="C13" s="88" t="s">
        <v>95</v>
      </c>
      <c r="D13" s="88">
        <v>4.7</v>
      </c>
      <c r="E13" s="88">
        <v>5.7</v>
      </c>
      <c r="F13" s="64">
        <v>6</v>
      </c>
      <c r="G13" s="241" t="s">
        <v>493</v>
      </c>
    </row>
    <row r="14" spans="1:22" ht="204.75" customHeight="1" x14ac:dyDescent="0.25">
      <c r="A14" s="206" t="s">
        <v>96</v>
      </c>
      <c r="B14" s="67" t="s">
        <v>97</v>
      </c>
      <c r="C14" s="88" t="s">
        <v>95</v>
      </c>
      <c r="D14" s="88">
        <v>0.5</v>
      </c>
      <c r="E14" s="88">
        <v>0.7</v>
      </c>
      <c r="F14" s="88">
        <v>2.7</v>
      </c>
      <c r="G14" s="242"/>
    </row>
    <row r="15" spans="1:22" ht="204" customHeight="1" x14ac:dyDescent="0.25">
      <c r="A15" s="206" t="s">
        <v>98</v>
      </c>
      <c r="B15" s="67" t="s">
        <v>99</v>
      </c>
      <c r="C15" s="88" t="s">
        <v>100</v>
      </c>
      <c r="D15" s="88">
        <v>0.4</v>
      </c>
      <c r="E15" s="88">
        <v>0.5</v>
      </c>
      <c r="F15" s="88">
        <v>2.4</v>
      </c>
      <c r="G15" s="243"/>
    </row>
    <row r="16" spans="1:22" ht="188.25" customHeight="1" x14ac:dyDescent="0.25">
      <c r="A16" s="206" t="s">
        <v>101</v>
      </c>
      <c r="B16" s="67" t="s">
        <v>102</v>
      </c>
      <c r="C16" s="88" t="s">
        <v>95</v>
      </c>
      <c r="D16" s="88">
        <v>73</v>
      </c>
      <c r="E16" s="64">
        <v>68.400000000000006</v>
      </c>
      <c r="F16" s="64">
        <v>23.210234062968723</v>
      </c>
      <c r="G16" s="87" t="s">
        <v>492</v>
      </c>
    </row>
    <row r="17" spans="1:7" s="32" customFormat="1" ht="45" customHeight="1" x14ac:dyDescent="0.25">
      <c r="A17" s="206" t="s">
        <v>103</v>
      </c>
      <c r="B17" s="83" t="s">
        <v>104</v>
      </c>
      <c r="C17" s="123" t="s">
        <v>105</v>
      </c>
      <c r="D17" s="188">
        <v>15</v>
      </c>
      <c r="E17" s="123">
        <v>68</v>
      </c>
      <c r="F17" s="123">
        <v>25</v>
      </c>
      <c r="G17" s="123" t="s">
        <v>138</v>
      </c>
    </row>
    <row r="18" spans="1:7" s="32" customFormat="1" ht="42" customHeight="1" x14ac:dyDescent="0.25">
      <c r="A18" s="206" t="s">
        <v>106</v>
      </c>
      <c r="B18" s="83" t="s">
        <v>107</v>
      </c>
      <c r="C18" s="123" t="s">
        <v>95</v>
      </c>
      <c r="D18" s="123">
        <v>91.6</v>
      </c>
      <c r="E18" s="122">
        <v>92.1</v>
      </c>
      <c r="F18" s="123">
        <v>89.4</v>
      </c>
      <c r="G18" s="101" t="s">
        <v>138</v>
      </c>
    </row>
    <row r="19" spans="1:7" ht="31.5" x14ac:dyDescent="0.25">
      <c r="A19" s="99"/>
      <c r="B19" s="189" t="s">
        <v>34</v>
      </c>
      <c r="C19" s="190"/>
      <c r="D19" s="123"/>
      <c r="E19" s="191"/>
      <c r="F19" s="123"/>
      <c r="G19" s="101"/>
    </row>
    <row r="20" spans="1:7" ht="72.75" customHeight="1" x14ac:dyDescent="0.25">
      <c r="A20" s="82" t="s">
        <v>108</v>
      </c>
      <c r="B20" s="67" t="s">
        <v>109</v>
      </c>
      <c r="C20" s="88" t="s">
        <v>95</v>
      </c>
      <c r="D20" s="88">
        <v>76</v>
      </c>
      <c r="E20" s="64">
        <v>60</v>
      </c>
      <c r="F20" s="122">
        <v>35.700000000000003</v>
      </c>
      <c r="G20" s="219" t="s">
        <v>491</v>
      </c>
    </row>
    <row r="21" spans="1:7" s="32" customFormat="1" ht="140.25" customHeight="1" x14ac:dyDescent="0.25">
      <c r="A21" s="82" t="s">
        <v>307</v>
      </c>
      <c r="B21" s="67" t="s">
        <v>308</v>
      </c>
      <c r="C21" s="88" t="s">
        <v>95</v>
      </c>
      <c r="D21" s="64">
        <v>11.4</v>
      </c>
      <c r="E21" s="64">
        <v>10</v>
      </c>
      <c r="F21" s="122">
        <v>8</v>
      </c>
      <c r="G21" s="219" t="s">
        <v>488</v>
      </c>
    </row>
    <row r="22" spans="1:7" s="12" customFormat="1" ht="72.75" customHeight="1" x14ac:dyDescent="0.25">
      <c r="A22" s="82" t="s">
        <v>190</v>
      </c>
      <c r="B22" s="67" t="s">
        <v>206</v>
      </c>
      <c r="C22" s="88" t="s">
        <v>95</v>
      </c>
      <c r="D22" s="88">
        <v>14.7</v>
      </c>
      <c r="E22" s="64">
        <v>12</v>
      </c>
      <c r="F22" s="123">
        <v>2.2000000000000002</v>
      </c>
      <c r="G22" s="219" t="s">
        <v>486</v>
      </c>
    </row>
    <row r="23" spans="1:7" s="12" customFormat="1" ht="161.25" customHeight="1" x14ac:dyDescent="0.25">
      <c r="A23" s="82" t="s">
        <v>191</v>
      </c>
      <c r="B23" s="67" t="s">
        <v>198</v>
      </c>
      <c r="C23" s="88" t="s">
        <v>95</v>
      </c>
      <c r="D23" s="88">
        <v>4.3</v>
      </c>
      <c r="E23" s="64">
        <v>3</v>
      </c>
      <c r="F23" s="122">
        <v>1.2</v>
      </c>
      <c r="G23" s="219" t="s">
        <v>490</v>
      </c>
    </row>
    <row r="24" spans="1:7" s="12" customFormat="1" ht="146.25" customHeight="1" x14ac:dyDescent="0.25">
      <c r="A24" s="82" t="s">
        <v>192</v>
      </c>
      <c r="B24" s="67" t="s">
        <v>199</v>
      </c>
      <c r="C24" s="88" t="s">
        <v>95</v>
      </c>
      <c r="D24" s="64">
        <v>3.2</v>
      </c>
      <c r="E24" s="64">
        <v>2</v>
      </c>
      <c r="F24" s="122">
        <v>0.4</v>
      </c>
      <c r="G24" s="219" t="s">
        <v>488</v>
      </c>
    </row>
    <row r="25" spans="1:7" s="12" customFormat="1" ht="75" customHeight="1" x14ac:dyDescent="0.25">
      <c r="A25" s="82" t="s">
        <v>193</v>
      </c>
      <c r="B25" s="67" t="s">
        <v>203</v>
      </c>
      <c r="C25" s="88" t="s">
        <v>95</v>
      </c>
      <c r="D25" s="88">
        <v>19.5</v>
      </c>
      <c r="E25" s="64">
        <v>10</v>
      </c>
      <c r="F25" s="122">
        <v>2.2999999999999998</v>
      </c>
      <c r="G25" s="219" t="s">
        <v>487</v>
      </c>
    </row>
    <row r="26" spans="1:7" s="12" customFormat="1" ht="72" customHeight="1" x14ac:dyDescent="0.25">
      <c r="A26" s="82" t="s">
        <v>194</v>
      </c>
      <c r="B26" s="67" t="s">
        <v>200</v>
      </c>
      <c r="C26" s="88" t="s">
        <v>95</v>
      </c>
      <c r="D26" s="88">
        <v>21.2</v>
      </c>
      <c r="E26" s="64">
        <v>10</v>
      </c>
      <c r="F26" s="122">
        <v>2.6</v>
      </c>
      <c r="G26" s="219" t="s">
        <v>487</v>
      </c>
    </row>
    <row r="27" spans="1:7" s="12" customFormat="1" ht="144" customHeight="1" x14ac:dyDescent="0.25">
      <c r="A27" s="65" t="s">
        <v>195</v>
      </c>
      <c r="B27" s="67" t="s">
        <v>208</v>
      </c>
      <c r="C27" s="88" t="s">
        <v>95</v>
      </c>
      <c r="D27" s="64">
        <v>6.9</v>
      </c>
      <c r="E27" s="64">
        <v>3</v>
      </c>
      <c r="F27" s="122">
        <v>0.9</v>
      </c>
      <c r="G27" s="219" t="s">
        <v>494</v>
      </c>
    </row>
    <row r="28" spans="1:7" s="12" customFormat="1" ht="102.75" customHeight="1" x14ac:dyDescent="0.25">
      <c r="A28" s="82" t="s">
        <v>196</v>
      </c>
      <c r="B28" s="67" t="s">
        <v>201</v>
      </c>
      <c r="C28" s="88" t="s">
        <v>95</v>
      </c>
      <c r="D28" s="88">
        <v>0.5</v>
      </c>
      <c r="E28" s="88">
        <v>0.3</v>
      </c>
      <c r="F28" s="123">
        <v>0.1</v>
      </c>
      <c r="G28" s="219" t="s">
        <v>487</v>
      </c>
    </row>
    <row r="29" spans="1:7" ht="144.75" customHeight="1" x14ac:dyDescent="0.25">
      <c r="A29" s="65" t="s">
        <v>197</v>
      </c>
      <c r="B29" s="67" t="s">
        <v>202</v>
      </c>
      <c r="C29" s="88" t="s">
        <v>95</v>
      </c>
      <c r="D29" s="88">
        <v>52.8</v>
      </c>
      <c r="E29" s="64">
        <v>60</v>
      </c>
      <c r="F29" s="123">
        <v>26.7</v>
      </c>
      <c r="G29" s="219" t="s">
        <v>494</v>
      </c>
    </row>
    <row r="30" spans="1:7" s="32" customFormat="1" ht="115.5" customHeight="1" x14ac:dyDescent="0.25">
      <c r="A30" s="82" t="s">
        <v>241</v>
      </c>
      <c r="B30" s="67" t="s">
        <v>243</v>
      </c>
      <c r="C30" s="88" t="s">
        <v>105</v>
      </c>
      <c r="D30" s="88">
        <v>13</v>
      </c>
      <c r="E30" s="57">
        <v>40</v>
      </c>
      <c r="F30" s="123">
        <v>5</v>
      </c>
      <c r="G30" s="219" t="s">
        <v>489</v>
      </c>
    </row>
    <row r="31" spans="1:7" s="32" customFormat="1" ht="129.75" customHeight="1" x14ac:dyDescent="0.25">
      <c r="A31" s="65" t="s">
        <v>247</v>
      </c>
      <c r="B31" s="67" t="s">
        <v>402</v>
      </c>
      <c r="C31" s="88" t="s">
        <v>105</v>
      </c>
      <c r="D31" s="88">
        <v>94</v>
      </c>
      <c r="E31" s="57">
        <v>410</v>
      </c>
      <c r="F31" s="123">
        <v>652</v>
      </c>
      <c r="G31" s="87" t="s">
        <v>138</v>
      </c>
    </row>
    <row r="32" spans="1:7" s="32" customFormat="1" ht="96.75" hidden="1" customHeight="1" x14ac:dyDescent="0.25">
      <c r="A32" s="65" t="s">
        <v>248</v>
      </c>
      <c r="B32" s="67" t="s">
        <v>249</v>
      </c>
      <c r="C32" s="88" t="s">
        <v>95</v>
      </c>
      <c r="D32" s="88">
        <v>0</v>
      </c>
      <c r="E32" s="57">
        <v>100</v>
      </c>
      <c r="F32" s="123">
        <v>0</v>
      </c>
      <c r="G32" s="87" t="s">
        <v>138</v>
      </c>
    </row>
    <row r="33" spans="1:7" s="32" customFormat="1" ht="61.5" customHeight="1" x14ac:dyDescent="0.25">
      <c r="A33" s="65" t="s">
        <v>385</v>
      </c>
      <c r="B33" s="67" t="s">
        <v>414</v>
      </c>
      <c r="C33" s="88" t="s">
        <v>95</v>
      </c>
      <c r="D33" s="88" t="s">
        <v>138</v>
      </c>
      <c r="E33" s="64">
        <v>65</v>
      </c>
      <c r="F33" s="123" t="s">
        <v>138</v>
      </c>
      <c r="G33" s="220" t="s">
        <v>387</v>
      </c>
    </row>
    <row r="34" spans="1:7" s="32" customFormat="1" ht="55.5" customHeight="1" x14ac:dyDescent="0.25">
      <c r="A34" s="65" t="s">
        <v>386</v>
      </c>
      <c r="B34" s="67" t="s">
        <v>415</v>
      </c>
      <c r="C34" s="88" t="s">
        <v>95</v>
      </c>
      <c r="D34" s="88" t="s">
        <v>138</v>
      </c>
      <c r="E34" s="64">
        <v>65</v>
      </c>
      <c r="F34" s="123" t="s">
        <v>138</v>
      </c>
      <c r="G34" s="220" t="s">
        <v>387</v>
      </c>
    </row>
    <row r="35" spans="1:7" s="12" customFormat="1" ht="78.75" customHeight="1" x14ac:dyDescent="0.25">
      <c r="A35" s="65" t="s">
        <v>261</v>
      </c>
      <c r="B35" s="67" t="s">
        <v>283</v>
      </c>
      <c r="C35" s="88" t="s">
        <v>95</v>
      </c>
      <c r="D35" s="88">
        <v>1.2</v>
      </c>
      <c r="E35" s="64">
        <v>3.9</v>
      </c>
      <c r="F35" s="123">
        <v>0.2</v>
      </c>
      <c r="G35" s="87" t="s">
        <v>138</v>
      </c>
    </row>
    <row r="36" spans="1:7" s="13" customFormat="1" ht="351.75" customHeight="1" x14ac:dyDescent="0.25">
      <c r="A36" s="65" t="s">
        <v>262</v>
      </c>
      <c r="B36" s="67" t="s">
        <v>263</v>
      </c>
      <c r="C36" s="88" t="s">
        <v>95</v>
      </c>
      <c r="D36" s="88" t="s">
        <v>138</v>
      </c>
      <c r="E36" s="64">
        <v>60.9</v>
      </c>
      <c r="F36" s="123" t="s">
        <v>138</v>
      </c>
      <c r="G36" s="87" t="s">
        <v>403</v>
      </c>
    </row>
    <row r="37" spans="1:7" s="32" customFormat="1" ht="63" x14ac:dyDescent="0.25">
      <c r="A37" s="216" t="s">
        <v>404</v>
      </c>
      <c r="B37" s="83" t="s">
        <v>405</v>
      </c>
      <c r="C37" s="123" t="s">
        <v>95</v>
      </c>
      <c r="D37" s="123" t="s">
        <v>138</v>
      </c>
      <c r="E37" s="122">
        <v>85</v>
      </c>
      <c r="F37" s="123" t="s">
        <v>138</v>
      </c>
      <c r="G37" s="220" t="s">
        <v>387</v>
      </c>
    </row>
    <row r="38" spans="1:7" s="32" customFormat="1" ht="81" customHeight="1" x14ac:dyDescent="0.25">
      <c r="A38" s="216" t="s">
        <v>406</v>
      </c>
      <c r="B38" s="83" t="s">
        <v>407</v>
      </c>
      <c r="C38" s="123" t="s">
        <v>95</v>
      </c>
      <c r="D38" s="123" t="s">
        <v>138</v>
      </c>
      <c r="E38" s="122">
        <v>85</v>
      </c>
      <c r="F38" s="123" t="s">
        <v>138</v>
      </c>
      <c r="G38" s="220" t="s">
        <v>387</v>
      </c>
    </row>
    <row r="39" spans="1:7" s="32" customFormat="1" ht="74.25" customHeight="1" x14ac:dyDescent="0.25">
      <c r="A39" s="216" t="s">
        <v>408</v>
      </c>
      <c r="B39" s="83" t="s">
        <v>409</v>
      </c>
      <c r="C39" s="123" t="s">
        <v>95</v>
      </c>
      <c r="D39" s="123" t="s">
        <v>138</v>
      </c>
      <c r="E39" s="122">
        <v>70</v>
      </c>
      <c r="F39" s="123" t="s">
        <v>138</v>
      </c>
      <c r="G39" s="220" t="s">
        <v>387</v>
      </c>
    </row>
    <row r="40" spans="1:7" s="32" customFormat="1" ht="37.5" customHeight="1" x14ac:dyDescent="0.25">
      <c r="A40" s="197" t="s">
        <v>457</v>
      </c>
      <c r="B40" s="67" t="s">
        <v>458</v>
      </c>
      <c r="C40" s="88" t="s">
        <v>95</v>
      </c>
      <c r="D40" s="88" t="s">
        <v>138</v>
      </c>
      <c r="E40" s="198">
        <v>722</v>
      </c>
      <c r="F40" s="88">
        <v>0</v>
      </c>
      <c r="G40" s="219" t="s">
        <v>484</v>
      </c>
    </row>
    <row r="41" spans="1:7" s="32" customFormat="1" ht="37.5" customHeight="1" x14ac:dyDescent="0.25">
      <c r="A41" s="197" t="s">
        <v>459</v>
      </c>
      <c r="B41" s="67" t="s">
        <v>460</v>
      </c>
      <c r="C41" s="88" t="s">
        <v>95</v>
      </c>
      <c r="D41" s="88" t="s">
        <v>138</v>
      </c>
      <c r="E41" s="198">
        <v>2100</v>
      </c>
      <c r="F41" s="88">
        <v>0</v>
      </c>
      <c r="G41" s="219" t="s">
        <v>484</v>
      </c>
    </row>
    <row r="42" spans="1:7" s="32" customFormat="1" ht="37.5" customHeight="1" x14ac:dyDescent="0.25">
      <c r="A42" s="197" t="s">
        <v>461</v>
      </c>
      <c r="B42" s="67" t="s">
        <v>462</v>
      </c>
      <c r="C42" s="88" t="s">
        <v>95</v>
      </c>
      <c r="D42" s="88" t="s">
        <v>138</v>
      </c>
      <c r="E42" s="198">
        <v>3.1</v>
      </c>
      <c r="F42" s="88">
        <v>3.3</v>
      </c>
      <c r="G42" s="219" t="s">
        <v>484</v>
      </c>
    </row>
    <row r="43" spans="1:7" x14ac:dyDescent="0.25">
      <c r="A43" s="99"/>
      <c r="B43" s="53" t="s">
        <v>110</v>
      </c>
      <c r="C43" s="55"/>
      <c r="D43" s="88"/>
      <c r="E43" s="56"/>
      <c r="F43" s="123"/>
      <c r="G43" s="87" t="s">
        <v>138</v>
      </c>
    </row>
    <row r="44" spans="1:7" ht="52.5" customHeight="1" x14ac:dyDescent="0.25">
      <c r="A44" s="99" t="s">
        <v>111</v>
      </c>
      <c r="B44" s="67" t="s">
        <v>112</v>
      </c>
      <c r="C44" s="88" t="s">
        <v>105</v>
      </c>
      <c r="D44" s="88">
        <v>584</v>
      </c>
      <c r="E44" s="88">
        <v>1060</v>
      </c>
      <c r="F44" s="88">
        <v>495</v>
      </c>
      <c r="G44" s="60" t="s">
        <v>138</v>
      </c>
    </row>
    <row r="45" spans="1:7" ht="48.75" customHeight="1" x14ac:dyDescent="0.25">
      <c r="A45" s="99" t="s">
        <v>113</v>
      </c>
      <c r="B45" s="67" t="s">
        <v>114</v>
      </c>
      <c r="C45" s="88" t="s">
        <v>115</v>
      </c>
      <c r="D45" s="88">
        <v>36</v>
      </c>
      <c r="E45" s="88">
        <v>46</v>
      </c>
      <c r="F45" s="88">
        <v>36</v>
      </c>
      <c r="G45" s="60" t="s">
        <v>138</v>
      </c>
    </row>
    <row r="46" spans="1:7" ht="57.75" customHeight="1" x14ac:dyDescent="0.25">
      <c r="A46" s="99" t="s">
        <v>116</v>
      </c>
      <c r="B46" s="67" t="s">
        <v>117</v>
      </c>
      <c r="C46" s="88" t="s">
        <v>105</v>
      </c>
      <c r="D46" s="88">
        <v>6</v>
      </c>
      <c r="E46" s="88">
        <v>24</v>
      </c>
      <c r="F46" s="88">
        <v>8</v>
      </c>
      <c r="G46" s="100" t="s">
        <v>138</v>
      </c>
    </row>
    <row r="47" spans="1:7" ht="45.75" customHeight="1" x14ac:dyDescent="0.25">
      <c r="A47" s="99" t="s">
        <v>118</v>
      </c>
      <c r="B47" s="67" t="s">
        <v>119</v>
      </c>
      <c r="C47" s="88" t="s">
        <v>120</v>
      </c>
      <c r="D47" s="88">
        <v>992.1</v>
      </c>
      <c r="E47" s="64">
        <v>993.8</v>
      </c>
      <c r="F47" s="88">
        <v>955.82</v>
      </c>
      <c r="G47" s="60" t="s">
        <v>138</v>
      </c>
    </row>
    <row r="48" spans="1:7" ht="37.5" customHeight="1" x14ac:dyDescent="0.25">
      <c r="A48" s="99" t="s">
        <v>121</v>
      </c>
      <c r="B48" s="67" t="s">
        <v>122</v>
      </c>
      <c r="C48" s="88" t="s">
        <v>100</v>
      </c>
      <c r="D48" s="88">
        <v>128101</v>
      </c>
      <c r="E48" s="88">
        <v>20000</v>
      </c>
      <c r="F48" s="123">
        <v>109585</v>
      </c>
      <c r="G48" s="60" t="s">
        <v>138</v>
      </c>
    </row>
    <row r="49" spans="1:12" ht="45.75" customHeight="1" x14ac:dyDescent="0.25">
      <c r="A49" s="206" t="s">
        <v>123</v>
      </c>
      <c r="B49" s="67" t="s">
        <v>124</v>
      </c>
      <c r="C49" s="88" t="s">
        <v>105</v>
      </c>
      <c r="D49" s="88">
        <v>199879</v>
      </c>
      <c r="E49" s="88">
        <v>192000</v>
      </c>
      <c r="F49" s="88">
        <v>198188</v>
      </c>
      <c r="G49" s="221" t="s">
        <v>485</v>
      </c>
    </row>
    <row r="50" spans="1:12" ht="47.25" customHeight="1" x14ac:dyDescent="0.25">
      <c r="A50" s="218" t="s">
        <v>125</v>
      </c>
      <c r="B50" s="67" t="s">
        <v>126</v>
      </c>
      <c r="C50" s="88" t="s">
        <v>95</v>
      </c>
      <c r="D50" s="88">
        <v>13.2</v>
      </c>
      <c r="E50" s="64">
        <v>13</v>
      </c>
      <c r="F50" s="88">
        <v>13.4</v>
      </c>
      <c r="G50" s="221" t="s">
        <v>485</v>
      </c>
    </row>
    <row r="51" spans="1:12" ht="52.5" customHeight="1" x14ac:dyDescent="0.25">
      <c r="A51" s="99"/>
      <c r="B51" s="53" t="s">
        <v>29</v>
      </c>
      <c r="C51" s="55"/>
      <c r="D51" s="88"/>
      <c r="E51" s="56"/>
      <c r="F51" s="123"/>
      <c r="G51" s="87"/>
    </row>
    <row r="52" spans="1:12" ht="125.25" customHeight="1" x14ac:dyDescent="0.25">
      <c r="A52" s="99" t="s">
        <v>296</v>
      </c>
      <c r="B52" s="67" t="s">
        <v>127</v>
      </c>
      <c r="C52" s="88" t="s">
        <v>105</v>
      </c>
      <c r="D52" s="60">
        <v>351</v>
      </c>
      <c r="E52" s="88">
        <v>500</v>
      </c>
      <c r="F52" s="124">
        <v>69</v>
      </c>
      <c r="G52" s="220" t="s">
        <v>387</v>
      </c>
    </row>
    <row r="53" spans="1:12" ht="72" customHeight="1" x14ac:dyDescent="0.25">
      <c r="A53" s="99" t="s">
        <v>297</v>
      </c>
      <c r="B53" s="67" t="s">
        <v>128</v>
      </c>
      <c r="C53" s="88" t="s">
        <v>95</v>
      </c>
      <c r="D53" s="60">
        <v>92.4</v>
      </c>
      <c r="E53" s="64">
        <v>100</v>
      </c>
      <c r="F53" s="125">
        <v>94</v>
      </c>
      <c r="G53" s="220" t="s">
        <v>387</v>
      </c>
    </row>
    <row r="54" spans="1:12" ht="76.5" customHeight="1" x14ac:dyDescent="0.25">
      <c r="A54" s="99" t="s">
        <v>298</v>
      </c>
      <c r="B54" s="67" t="s">
        <v>129</v>
      </c>
      <c r="C54" s="88" t="s">
        <v>95</v>
      </c>
      <c r="D54" s="88" t="s">
        <v>138</v>
      </c>
      <c r="E54" s="64">
        <v>10</v>
      </c>
      <c r="F54" s="123" t="s">
        <v>138</v>
      </c>
      <c r="G54" s="220" t="s">
        <v>387</v>
      </c>
    </row>
    <row r="55" spans="1:12" ht="60" customHeight="1" x14ac:dyDescent="0.25">
      <c r="A55" s="99" t="s">
        <v>299</v>
      </c>
      <c r="B55" s="67" t="s">
        <v>130</v>
      </c>
      <c r="C55" s="88" t="s">
        <v>95</v>
      </c>
      <c r="D55" s="88" t="s">
        <v>138</v>
      </c>
      <c r="E55" s="88">
        <v>5</v>
      </c>
      <c r="F55" s="123" t="s">
        <v>138</v>
      </c>
      <c r="G55" s="220" t="s">
        <v>387</v>
      </c>
    </row>
    <row r="56" spans="1:12" ht="55.5" customHeight="1" x14ac:dyDescent="0.25">
      <c r="A56" s="99" t="s">
        <v>300</v>
      </c>
      <c r="B56" s="67" t="s">
        <v>131</v>
      </c>
      <c r="C56" s="88" t="s">
        <v>95</v>
      </c>
      <c r="D56" s="88" t="s">
        <v>138</v>
      </c>
      <c r="E56" s="64">
        <v>72</v>
      </c>
      <c r="F56" s="123" t="s">
        <v>138</v>
      </c>
      <c r="G56" s="220" t="s">
        <v>387</v>
      </c>
    </row>
    <row r="57" spans="1:12" ht="52.5" customHeight="1" x14ac:dyDescent="0.25">
      <c r="A57" s="99" t="s">
        <v>301</v>
      </c>
      <c r="B57" s="67" t="s">
        <v>132</v>
      </c>
      <c r="C57" s="88" t="s">
        <v>95</v>
      </c>
      <c r="D57" s="88" t="s">
        <v>138</v>
      </c>
      <c r="E57" s="64">
        <v>70</v>
      </c>
      <c r="F57" s="123" t="s">
        <v>138</v>
      </c>
      <c r="G57" s="220" t="s">
        <v>387</v>
      </c>
    </row>
    <row r="58" spans="1:12" ht="51" customHeight="1" x14ac:dyDescent="0.25">
      <c r="A58" s="99" t="s">
        <v>302</v>
      </c>
      <c r="B58" s="67" t="s">
        <v>133</v>
      </c>
      <c r="C58" s="88" t="s">
        <v>95</v>
      </c>
      <c r="D58" s="64" t="s">
        <v>138</v>
      </c>
      <c r="E58" s="64">
        <v>2</v>
      </c>
      <c r="F58" s="123" t="s">
        <v>138</v>
      </c>
      <c r="G58" s="220" t="s">
        <v>387</v>
      </c>
    </row>
    <row r="59" spans="1:12" ht="72.75" customHeight="1" x14ac:dyDescent="0.25">
      <c r="A59" s="99" t="s">
        <v>303</v>
      </c>
      <c r="B59" s="67" t="s">
        <v>134</v>
      </c>
      <c r="C59" s="88" t="s">
        <v>95</v>
      </c>
      <c r="D59" s="195" t="s">
        <v>138</v>
      </c>
      <c r="E59" s="64">
        <v>100</v>
      </c>
      <c r="F59" s="123" t="s">
        <v>138</v>
      </c>
      <c r="G59" s="220" t="s">
        <v>387</v>
      </c>
    </row>
    <row r="60" spans="1:12" ht="108.75" customHeight="1" x14ac:dyDescent="0.25">
      <c r="A60" s="99" t="s">
        <v>304</v>
      </c>
      <c r="B60" s="20" t="s">
        <v>135</v>
      </c>
      <c r="C60" s="60" t="s">
        <v>95</v>
      </c>
      <c r="D60" s="88" t="s">
        <v>138</v>
      </c>
      <c r="E60" s="195">
        <v>14</v>
      </c>
      <c r="F60" s="123" t="s">
        <v>138</v>
      </c>
      <c r="G60" s="220" t="s">
        <v>387</v>
      </c>
    </row>
    <row r="61" spans="1:12" ht="150" customHeight="1" x14ac:dyDescent="0.25">
      <c r="A61" s="99" t="s">
        <v>305</v>
      </c>
      <c r="B61" s="20" t="s">
        <v>136</v>
      </c>
      <c r="C61" s="60" t="s">
        <v>95</v>
      </c>
      <c r="D61" s="195">
        <v>100</v>
      </c>
      <c r="E61" s="195">
        <v>95</v>
      </c>
      <c r="F61" s="124">
        <v>23</v>
      </c>
      <c r="G61" s="220" t="s">
        <v>387</v>
      </c>
    </row>
    <row r="62" spans="1:12" ht="18.75" customHeight="1" x14ac:dyDescent="0.25">
      <c r="A62" s="235" t="s">
        <v>476</v>
      </c>
      <c r="B62" s="236"/>
      <c r="C62" s="236"/>
      <c r="D62" s="236"/>
      <c r="E62" s="236"/>
      <c r="F62" s="236"/>
      <c r="G62" s="236"/>
      <c r="H62" s="10"/>
      <c r="I62" s="10"/>
      <c r="J62" s="10"/>
      <c r="K62" s="10"/>
      <c r="L62" s="10"/>
    </row>
    <row r="63" spans="1:12" s="32" customFormat="1" ht="22.5" hidden="1" customHeight="1" x14ac:dyDescent="0.25">
      <c r="A63" s="233"/>
      <c r="B63" s="233"/>
      <c r="C63" s="233"/>
      <c r="D63" s="233"/>
      <c r="E63" s="233"/>
      <c r="F63" s="233"/>
      <c r="G63" s="233"/>
      <c r="H63" s="35"/>
      <c r="I63" s="35"/>
      <c r="J63" s="35"/>
      <c r="K63" s="35"/>
      <c r="L63" s="35"/>
    </row>
    <row r="64" spans="1:12" s="32" customFormat="1" ht="18" hidden="1" customHeight="1" x14ac:dyDescent="0.25">
      <c r="A64" s="239"/>
      <c r="B64" s="239"/>
      <c r="C64" s="11"/>
      <c r="D64" s="11"/>
      <c r="E64" s="11"/>
      <c r="F64" s="234"/>
      <c r="G64" s="234"/>
      <c r="H64" s="35"/>
      <c r="I64" s="35"/>
      <c r="J64" s="35"/>
      <c r="K64" s="35"/>
      <c r="L64" s="35"/>
    </row>
    <row r="65" spans="1:12" ht="17.25" hidden="1" customHeight="1" x14ac:dyDescent="0.25">
      <c r="A65" s="8"/>
      <c r="B65" s="3"/>
      <c r="C65" s="9"/>
      <c r="D65" s="9"/>
      <c r="E65" s="9"/>
      <c r="F65" s="238"/>
      <c r="G65" s="238"/>
      <c r="H65" s="10"/>
      <c r="I65" s="10"/>
      <c r="J65" s="10"/>
      <c r="K65" s="10"/>
      <c r="L65" s="10"/>
    </row>
    <row r="66" spans="1:12" ht="42.75" customHeight="1" x14ac:dyDescent="0.3">
      <c r="A66" s="237" t="s">
        <v>362</v>
      </c>
      <c r="B66" s="237"/>
      <c r="C66" s="192"/>
      <c r="D66" s="192"/>
      <c r="E66" s="192"/>
      <c r="F66" s="193"/>
      <c r="G66" s="217" t="s">
        <v>363</v>
      </c>
    </row>
    <row r="67" spans="1:12" x14ac:dyDescent="0.25">
      <c r="A67" s="34"/>
      <c r="B67" s="33"/>
      <c r="C67" s="9"/>
      <c r="D67" s="9"/>
      <c r="E67" s="9"/>
      <c r="F67" s="182"/>
      <c r="G67" s="26"/>
    </row>
    <row r="68" spans="1:12" x14ac:dyDescent="0.25">
      <c r="A68" s="32" t="s">
        <v>396</v>
      </c>
      <c r="B68" s="32"/>
      <c r="C68" s="7"/>
      <c r="D68" s="7"/>
      <c r="E68" s="7"/>
      <c r="F68" s="7"/>
      <c r="G68" s="76"/>
    </row>
    <row r="69" spans="1:12" x14ac:dyDescent="0.25">
      <c r="A69" s="194" t="s">
        <v>397</v>
      </c>
      <c r="B69" s="32"/>
      <c r="G69" s="26"/>
    </row>
  </sheetData>
  <mergeCells count="21">
    <mergeCell ref="K1:O1"/>
    <mergeCell ref="K2:O2"/>
    <mergeCell ref="A6:G6"/>
    <mergeCell ref="A1:G1"/>
    <mergeCell ref="A2:G2"/>
    <mergeCell ref="A3:G3"/>
    <mergeCell ref="A4:G4"/>
    <mergeCell ref="A5:G5"/>
    <mergeCell ref="A63:G63"/>
    <mergeCell ref="E9:F9"/>
    <mergeCell ref="F64:G64"/>
    <mergeCell ref="A62:G62"/>
    <mergeCell ref="A66:B66"/>
    <mergeCell ref="F65:G65"/>
    <mergeCell ref="A64:B64"/>
    <mergeCell ref="C8:C10"/>
    <mergeCell ref="G8:G10"/>
    <mergeCell ref="A8:A10"/>
    <mergeCell ref="B8:B10"/>
    <mergeCell ref="D8:F8"/>
    <mergeCell ref="G13:G15"/>
  </mergeCells>
  <pageMargins left="0.51181102362204722" right="0.11811023622047245" top="0.35433070866141736" bottom="0.35433070866141736" header="0.11811023622047245" footer="0.11811023622047245"/>
  <pageSetup paperSize="9" scale="57" fitToHeight="0" orientation="portrait" r:id="rId1"/>
  <rowBreaks count="2" manualBreakCount="2">
    <brk id="35" max="6" man="1"/>
    <brk id="5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33"/>
  <sheetViews>
    <sheetView view="pageBreakPreview" zoomScale="60" zoomScaleNormal="80" zoomScalePageLayoutView="5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102" sqref="H102"/>
    </sheetView>
  </sheetViews>
  <sheetFormatPr defaultColWidth="9.140625" defaultRowHeight="15.75" x14ac:dyDescent="0.25"/>
  <cols>
    <col min="1" max="1" width="12.85546875" style="13" customWidth="1"/>
    <col min="2" max="2" width="34.5703125" style="13" customWidth="1"/>
    <col min="3" max="3" width="9.42578125" style="13" customWidth="1"/>
    <col min="4" max="4" width="22.140625" style="13" customWidth="1"/>
    <col min="5" max="5" width="17.28515625" style="13" customWidth="1"/>
    <col min="6" max="6" width="14.7109375" style="13" customWidth="1"/>
    <col min="7" max="7" width="14" style="13" customWidth="1"/>
    <col min="8" max="8" width="13.85546875" style="13" customWidth="1"/>
    <col min="9" max="9" width="16.42578125" style="172" customWidth="1"/>
    <col min="10" max="10" width="13.7109375" style="32" customWidth="1"/>
    <col min="11" max="11" width="13.42578125" style="32" customWidth="1"/>
    <col min="12" max="12" width="13.140625" style="32" customWidth="1"/>
    <col min="13" max="13" width="12.28515625" style="32" customWidth="1"/>
    <col min="14" max="14" width="11.85546875" style="32" customWidth="1"/>
    <col min="15" max="15" width="11.7109375" style="32" customWidth="1"/>
    <col min="16" max="16" width="12" style="32" customWidth="1"/>
    <col min="17" max="17" width="24.28515625" style="13" customWidth="1"/>
    <col min="18" max="18" width="17.5703125" style="13" customWidth="1"/>
    <col min="19" max="19" width="17.5703125" style="63" customWidth="1"/>
    <col min="20" max="20" width="27.5703125" style="13" customWidth="1"/>
    <col min="21" max="21" width="13.42578125" style="13" customWidth="1"/>
    <col min="22" max="22" width="14.28515625" style="13" customWidth="1"/>
    <col min="23" max="23" width="12.42578125" style="13" customWidth="1"/>
    <col min="24" max="24" width="12.5703125" style="13" customWidth="1"/>
    <col min="25" max="25" width="15.7109375" style="13" customWidth="1"/>
    <col min="26" max="16384" width="9.140625" style="13"/>
  </cols>
  <sheetData>
    <row r="1" spans="1:25" ht="30.75" customHeight="1" x14ac:dyDescent="0.25">
      <c r="A1" s="222" t="s">
        <v>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25" x14ac:dyDescent="0.25">
      <c r="A2" s="222" t="s">
        <v>212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</row>
    <row r="3" spans="1:25" x14ac:dyDescent="0.25">
      <c r="A3" s="247" t="s">
        <v>137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15"/>
      <c r="S3" s="15"/>
      <c r="T3" s="15"/>
      <c r="U3" s="15"/>
      <c r="V3" s="15"/>
      <c r="W3" s="15"/>
    </row>
    <row r="4" spans="1:25" ht="13.15" customHeight="1" x14ac:dyDescent="0.25">
      <c r="A4" s="223" t="s">
        <v>4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15"/>
      <c r="S4" s="15"/>
      <c r="T4" s="15"/>
      <c r="U4" s="15"/>
      <c r="V4" s="15"/>
      <c r="W4" s="15"/>
    </row>
    <row r="5" spans="1:25" x14ac:dyDescent="0.25">
      <c r="A5" s="247" t="s">
        <v>473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15"/>
      <c r="S5" s="15"/>
      <c r="T5" s="15"/>
      <c r="U5" s="15"/>
      <c r="V5" s="15"/>
      <c r="W5" s="15"/>
    </row>
    <row r="6" spans="1:25" x14ac:dyDescent="0.25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16"/>
      <c r="S6" s="16"/>
      <c r="T6" s="16"/>
      <c r="U6" s="16"/>
      <c r="V6" s="16"/>
      <c r="W6" s="16"/>
    </row>
    <row r="7" spans="1:25" s="17" customFormat="1" ht="35.25" customHeight="1" x14ac:dyDescent="0.25">
      <c r="A7" s="249" t="s">
        <v>436</v>
      </c>
      <c r="B7" s="249" t="s">
        <v>437</v>
      </c>
      <c r="C7" s="249" t="s">
        <v>213</v>
      </c>
      <c r="D7" s="249" t="s">
        <v>438</v>
      </c>
      <c r="E7" s="249" t="s">
        <v>214</v>
      </c>
      <c r="F7" s="249" t="s">
        <v>215</v>
      </c>
      <c r="G7" s="249" t="s">
        <v>216</v>
      </c>
      <c r="H7" s="249" t="s">
        <v>217</v>
      </c>
      <c r="I7" s="249" t="s">
        <v>218</v>
      </c>
      <c r="J7" s="249"/>
      <c r="K7" s="249"/>
      <c r="L7" s="249"/>
      <c r="M7" s="249"/>
      <c r="N7" s="249"/>
      <c r="O7" s="249"/>
      <c r="P7" s="249"/>
      <c r="Q7" s="227" t="s">
        <v>477</v>
      </c>
    </row>
    <row r="8" spans="1:25" s="17" customFormat="1" ht="34.5" customHeight="1" x14ac:dyDescent="0.25">
      <c r="A8" s="249"/>
      <c r="B8" s="249"/>
      <c r="C8" s="249"/>
      <c r="D8" s="249"/>
      <c r="E8" s="249"/>
      <c r="F8" s="249"/>
      <c r="G8" s="249"/>
      <c r="H8" s="249"/>
      <c r="I8" s="250" t="s">
        <v>219</v>
      </c>
      <c r="J8" s="250"/>
      <c r="K8" s="250" t="s">
        <v>220</v>
      </c>
      <c r="L8" s="250"/>
      <c r="M8" s="250" t="s">
        <v>221</v>
      </c>
      <c r="N8" s="250"/>
      <c r="O8" s="250" t="s">
        <v>222</v>
      </c>
      <c r="P8" s="250"/>
      <c r="Q8" s="227"/>
    </row>
    <row r="9" spans="1:25" s="17" customFormat="1" ht="50.45" customHeight="1" x14ac:dyDescent="0.25">
      <c r="A9" s="249"/>
      <c r="B9" s="249"/>
      <c r="C9" s="249"/>
      <c r="D9" s="249"/>
      <c r="E9" s="249"/>
      <c r="F9" s="249"/>
      <c r="G9" s="249"/>
      <c r="H9" s="249"/>
      <c r="I9" s="143" t="s">
        <v>12</v>
      </c>
      <c r="J9" s="208" t="s">
        <v>13</v>
      </c>
      <c r="K9" s="208" t="s">
        <v>12</v>
      </c>
      <c r="L9" s="208" t="s">
        <v>13</v>
      </c>
      <c r="M9" s="208" t="s">
        <v>12</v>
      </c>
      <c r="N9" s="208" t="s">
        <v>242</v>
      </c>
      <c r="O9" s="208" t="s">
        <v>12</v>
      </c>
      <c r="P9" s="208" t="s">
        <v>13</v>
      </c>
      <c r="Q9" s="227"/>
    </row>
    <row r="10" spans="1:25" x14ac:dyDescent="0.25">
      <c r="A10" s="144">
        <v>1</v>
      </c>
      <c r="B10" s="144">
        <v>2</v>
      </c>
      <c r="C10" s="144">
        <v>3</v>
      </c>
      <c r="D10" s="144">
        <v>4</v>
      </c>
      <c r="E10" s="144">
        <v>5</v>
      </c>
      <c r="F10" s="144">
        <v>6</v>
      </c>
      <c r="G10" s="144">
        <v>7</v>
      </c>
      <c r="H10" s="144">
        <v>8</v>
      </c>
      <c r="I10" s="145">
        <v>9</v>
      </c>
      <c r="J10" s="144">
        <v>10</v>
      </c>
      <c r="K10" s="144">
        <v>11</v>
      </c>
      <c r="L10" s="144">
        <v>12</v>
      </c>
      <c r="M10" s="144">
        <v>13</v>
      </c>
      <c r="N10" s="144">
        <v>14</v>
      </c>
      <c r="O10" s="144">
        <v>15</v>
      </c>
      <c r="P10" s="144">
        <v>16</v>
      </c>
      <c r="Q10" s="144">
        <v>17</v>
      </c>
    </row>
    <row r="11" spans="1:25" s="18" customFormat="1" ht="47.25" x14ac:dyDescent="0.25">
      <c r="A11" s="146"/>
      <c r="B11" s="147" t="s">
        <v>34</v>
      </c>
      <c r="C11" s="148"/>
      <c r="D11" s="148"/>
      <c r="E11" s="149"/>
      <c r="F11" s="149"/>
      <c r="G11" s="149"/>
      <c r="H11" s="149"/>
      <c r="I11" s="150"/>
      <c r="J11" s="150"/>
      <c r="K11" s="150"/>
      <c r="L11" s="150"/>
      <c r="M11" s="150"/>
      <c r="N11" s="150"/>
      <c r="O11" s="184"/>
      <c r="P11" s="150"/>
      <c r="Q11" s="150"/>
      <c r="T11" s="19">
        <f>I11+K11+M11+O11</f>
        <v>0</v>
      </c>
      <c r="U11" s="19">
        <f>J11+L11+N11+P11</f>
        <v>0</v>
      </c>
      <c r="X11" s="14">
        <f t="shared" ref="X11:X24" si="0">V11-J11-L11</f>
        <v>0</v>
      </c>
    </row>
    <row r="12" spans="1:25" ht="129.75" customHeight="1" x14ac:dyDescent="0.25">
      <c r="A12" s="82" t="s">
        <v>30</v>
      </c>
      <c r="B12" s="83" t="s">
        <v>311</v>
      </c>
      <c r="C12" s="123" t="s">
        <v>223</v>
      </c>
      <c r="D12" s="151" t="s">
        <v>285</v>
      </c>
      <c r="E12" s="126">
        <v>43839</v>
      </c>
      <c r="F12" s="126">
        <v>44196</v>
      </c>
      <c r="G12" s="126">
        <v>43839</v>
      </c>
      <c r="H12" s="126" t="s">
        <v>138</v>
      </c>
      <c r="I12" s="122">
        <v>597</v>
      </c>
      <c r="J12" s="122">
        <v>608.70000000000005</v>
      </c>
      <c r="K12" s="141">
        <v>651.5</v>
      </c>
      <c r="L12" s="122">
        <f>1271-J12</f>
        <v>662.3</v>
      </c>
      <c r="M12" s="141">
        <v>694.7</v>
      </c>
      <c r="N12" s="141">
        <f>1956.9-L12-J12</f>
        <v>685.90000000000009</v>
      </c>
      <c r="O12" s="122">
        <v>948.8</v>
      </c>
      <c r="P12" s="141">
        <v>0</v>
      </c>
      <c r="Q12" s="150" t="s">
        <v>138</v>
      </c>
      <c r="R12" s="110">
        <f>I12+K12+M12+O12</f>
        <v>2892</v>
      </c>
      <c r="S12" s="110">
        <v>608.70000000000005</v>
      </c>
      <c r="T12" s="13">
        <f>1111.8-J12</f>
        <v>503.09999999999991</v>
      </c>
      <c r="U12" s="13">
        <f>J12+L12</f>
        <v>1271</v>
      </c>
      <c r="V12" s="13">
        <v>1573.3</v>
      </c>
      <c r="X12" s="14">
        <f t="shared" si="0"/>
        <v>302.29999999999995</v>
      </c>
      <c r="Y12" s="14">
        <f t="shared" ref="Y12:Y24" si="1">X12-N12</f>
        <v>-383.60000000000014</v>
      </c>
    </row>
    <row r="13" spans="1:25" ht="216" customHeight="1" x14ac:dyDescent="0.25">
      <c r="A13" s="82"/>
      <c r="B13" s="83" t="s">
        <v>325</v>
      </c>
      <c r="C13" s="123" t="s">
        <v>223</v>
      </c>
      <c r="D13" s="151" t="s">
        <v>285</v>
      </c>
      <c r="E13" s="150" t="s">
        <v>138</v>
      </c>
      <c r="F13" s="126" t="s">
        <v>470</v>
      </c>
      <c r="G13" s="126" t="s">
        <v>138</v>
      </c>
      <c r="H13" s="209" t="s">
        <v>467</v>
      </c>
      <c r="I13" s="150" t="s">
        <v>138</v>
      </c>
      <c r="J13" s="150" t="s">
        <v>138</v>
      </c>
      <c r="K13" s="150" t="s">
        <v>138</v>
      </c>
      <c r="L13" s="150" t="s">
        <v>138</v>
      </c>
      <c r="M13" s="150" t="s">
        <v>138</v>
      </c>
      <c r="N13" s="150" t="s">
        <v>138</v>
      </c>
      <c r="O13" s="150" t="s">
        <v>138</v>
      </c>
      <c r="P13" s="150" t="s">
        <v>138</v>
      </c>
      <c r="Q13" s="150" t="s">
        <v>138</v>
      </c>
      <c r="R13" s="110" t="e">
        <f t="shared" ref="R13:R76" si="2">I13+K13+M13+O13</f>
        <v>#VALUE!</v>
      </c>
      <c r="S13" s="110"/>
      <c r="U13" s="13" t="e">
        <f>J13+L13</f>
        <v>#VALUE!</v>
      </c>
      <c r="X13" s="14" t="e">
        <f t="shared" si="0"/>
        <v>#VALUE!</v>
      </c>
      <c r="Y13" s="14" t="e">
        <f t="shared" si="1"/>
        <v>#VALUE!</v>
      </c>
    </row>
    <row r="14" spans="1:25" ht="144" customHeight="1" x14ac:dyDescent="0.25">
      <c r="A14" s="82" t="s">
        <v>31</v>
      </c>
      <c r="B14" s="83" t="s">
        <v>81</v>
      </c>
      <c r="C14" s="123" t="s">
        <v>223</v>
      </c>
      <c r="D14" s="151" t="s">
        <v>285</v>
      </c>
      <c r="E14" s="126">
        <v>43839</v>
      </c>
      <c r="F14" s="126">
        <v>44196</v>
      </c>
      <c r="G14" s="126">
        <v>43839</v>
      </c>
      <c r="H14" s="126" t="s">
        <v>138</v>
      </c>
      <c r="I14" s="122" t="s">
        <v>138</v>
      </c>
      <c r="J14" s="122" t="s">
        <v>138</v>
      </c>
      <c r="K14" s="122" t="s">
        <v>138</v>
      </c>
      <c r="L14" s="122" t="s">
        <v>138</v>
      </c>
      <c r="M14" s="122" t="s">
        <v>138</v>
      </c>
      <c r="N14" s="122" t="s">
        <v>138</v>
      </c>
      <c r="O14" s="122" t="s">
        <v>138</v>
      </c>
      <c r="P14" s="122" t="s">
        <v>138</v>
      </c>
      <c r="Q14" s="122" t="s">
        <v>138</v>
      </c>
      <c r="R14" s="110" t="e">
        <f t="shared" si="2"/>
        <v>#VALUE!</v>
      </c>
      <c r="S14" s="110"/>
      <c r="U14" s="13" t="e">
        <f>J14+L14</f>
        <v>#VALUE!</v>
      </c>
      <c r="X14" s="14" t="e">
        <f t="shared" si="0"/>
        <v>#VALUE!</v>
      </c>
      <c r="Y14" s="14" t="e">
        <f t="shared" si="1"/>
        <v>#VALUE!</v>
      </c>
    </row>
    <row r="15" spans="1:25" ht="154.5" customHeight="1" x14ac:dyDescent="0.25">
      <c r="A15" s="82" t="s">
        <v>32</v>
      </c>
      <c r="B15" s="83" t="s">
        <v>312</v>
      </c>
      <c r="C15" s="123" t="s">
        <v>223</v>
      </c>
      <c r="D15" s="151" t="s">
        <v>285</v>
      </c>
      <c r="E15" s="126">
        <v>43839</v>
      </c>
      <c r="F15" s="126">
        <v>44196</v>
      </c>
      <c r="G15" s="126">
        <v>43839</v>
      </c>
      <c r="H15" s="126" t="s">
        <v>138</v>
      </c>
      <c r="I15" s="122" t="s">
        <v>138</v>
      </c>
      <c r="J15" s="122" t="s">
        <v>138</v>
      </c>
      <c r="K15" s="122" t="s">
        <v>138</v>
      </c>
      <c r="L15" s="122" t="s">
        <v>138</v>
      </c>
      <c r="M15" s="122" t="s">
        <v>138</v>
      </c>
      <c r="N15" s="122" t="s">
        <v>138</v>
      </c>
      <c r="O15" s="122" t="s">
        <v>138</v>
      </c>
      <c r="P15" s="122" t="s">
        <v>138</v>
      </c>
      <c r="Q15" s="122" t="s">
        <v>138</v>
      </c>
      <c r="R15" s="110" t="e">
        <f t="shared" si="2"/>
        <v>#VALUE!</v>
      </c>
      <c r="S15" s="110"/>
      <c r="U15" s="13" t="e">
        <f>J15+L15</f>
        <v>#VALUE!</v>
      </c>
      <c r="X15" s="14" t="e">
        <f t="shared" si="0"/>
        <v>#VALUE!</v>
      </c>
      <c r="Y15" s="14" t="e">
        <f t="shared" si="1"/>
        <v>#VALUE!</v>
      </c>
    </row>
    <row r="16" spans="1:25" ht="141" customHeight="1" x14ac:dyDescent="0.25">
      <c r="A16" s="82" t="s">
        <v>33</v>
      </c>
      <c r="B16" s="83" t="s">
        <v>83</v>
      </c>
      <c r="C16" s="123" t="s">
        <v>223</v>
      </c>
      <c r="D16" s="151" t="s">
        <v>285</v>
      </c>
      <c r="E16" s="126">
        <v>43839</v>
      </c>
      <c r="F16" s="126">
        <v>44196</v>
      </c>
      <c r="G16" s="126">
        <v>43839</v>
      </c>
      <c r="H16" s="126" t="s">
        <v>138</v>
      </c>
      <c r="I16" s="122" t="s">
        <v>138</v>
      </c>
      <c r="J16" s="122" t="s">
        <v>138</v>
      </c>
      <c r="K16" s="122" t="s">
        <v>138</v>
      </c>
      <c r="L16" s="122" t="s">
        <v>138</v>
      </c>
      <c r="M16" s="122" t="s">
        <v>138</v>
      </c>
      <c r="N16" s="122" t="s">
        <v>138</v>
      </c>
      <c r="O16" s="122" t="s">
        <v>138</v>
      </c>
      <c r="P16" s="122" t="s">
        <v>138</v>
      </c>
      <c r="Q16" s="122" t="s">
        <v>138</v>
      </c>
      <c r="R16" s="110" t="e">
        <f t="shared" si="2"/>
        <v>#VALUE!</v>
      </c>
      <c r="S16" s="110"/>
      <c r="U16" s="13" t="e">
        <f t="shared" ref="U16:U24" si="3">J16+L16</f>
        <v>#VALUE!</v>
      </c>
      <c r="X16" s="14" t="e">
        <f t="shared" si="0"/>
        <v>#VALUE!</v>
      </c>
      <c r="Y16" s="14" t="e">
        <f t="shared" si="1"/>
        <v>#VALUE!</v>
      </c>
    </row>
    <row r="17" spans="1:25" ht="135" customHeight="1" x14ac:dyDescent="0.25">
      <c r="A17" s="151"/>
      <c r="B17" s="153" t="s">
        <v>326</v>
      </c>
      <c r="C17" s="123" t="s">
        <v>223</v>
      </c>
      <c r="D17" s="151" t="s">
        <v>285</v>
      </c>
      <c r="E17" s="126" t="s">
        <v>138</v>
      </c>
      <c r="F17" s="126" t="s">
        <v>418</v>
      </c>
      <c r="G17" s="210" t="s">
        <v>138</v>
      </c>
      <c r="H17" s="210">
        <v>44104</v>
      </c>
      <c r="I17" s="122" t="s">
        <v>138</v>
      </c>
      <c r="J17" s="122" t="s">
        <v>138</v>
      </c>
      <c r="K17" s="122" t="s">
        <v>138</v>
      </c>
      <c r="L17" s="122" t="s">
        <v>138</v>
      </c>
      <c r="M17" s="122" t="s">
        <v>138</v>
      </c>
      <c r="N17" s="122" t="s">
        <v>138</v>
      </c>
      <c r="O17" s="122" t="s">
        <v>138</v>
      </c>
      <c r="P17" s="122" t="s">
        <v>138</v>
      </c>
      <c r="Q17" s="122" t="s">
        <v>138</v>
      </c>
      <c r="R17" s="110" t="e">
        <f t="shared" si="2"/>
        <v>#VALUE!</v>
      </c>
      <c r="S17" s="110"/>
      <c r="U17" s="13" t="e">
        <f t="shared" si="3"/>
        <v>#VALUE!</v>
      </c>
      <c r="X17" s="14" t="e">
        <f t="shared" si="0"/>
        <v>#VALUE!</v>
      </c>
      <c r="Y17" s="14" t="e">
        <f t="shared" si="1"/>
        <v>#VALUE!</v>
      </c>
    </row>
    <row r="18" spans="1:25" ht="144.75" customHeight="1" x14ac:dyDescent="0.25">
      <c r="A18" s="82" t="s">
        <v>36</v>
      </c>
      <c r="B18" s="83" t="s">
        <v>313</v>
      </c>
      <c r="C18" s="123" t="s">
        <v>223</v>
      </c>
      <c r="D18" s="151" t="s">
        <v>285</v>
      </c>
      <c r="E18" s="126">
        <v>43839</v>
      </c>
      <c r="F18" s="126">
        <v>44196</v>
      </c>
      <c r="G18" s="126">
        <v>43839</v>
      </c>
      <c r="H18" s="126" t="s">
        <v>138</v>
      </c>
      <c r="I18" s="141">
        <v>79.900000000000006</v>
      </c>
      <c r="J18" s="141">
        <v>79.900000000000006</v>
      </c>
      <c r="K18" s="141">
        <v>264.10000000000002</v>
      </c>
      <c r="L18" s="141">
        <f>392.9-J18</f>
        <v>313</v>
      </c>
      <c r="M18" s="141">
        <v>198.1</v>
      </c>
      <c r="N18" s="141">
        <f>611.5-L18-J18</f>
        <v>218.6</v>
      </c>
      <c r="O18" s="141">
        <v>1092.9000000000001</v>
      </c>
      <c r="P18" s="141">
        <v>0</v>
      </c>
      <c r="Q18" s="150" t="s">
        <v>138</v>
      </c>
      <c r="R18" s="110">
        <f t="shared" si="2"/>
        <v>1635</v>
      </c>
      <c r="S18" s="110"/>
      <c r="T18" s="14">
        <f>503-J18</f>
        <v>423.1</v>
      </c>
      <c r="U18" s="13">
        <f t="shared" si="3"/>
        <v>392.9</v>
      </c>
      <c r="V18" s="13">
        <v>771</v>
      </c>
      <c r="X18" s="14">
        <f t="shared" si="0"/>
        <v>378.1</v>
      </c>
      <c r="Y18" s="14">
        <f t="shared" si="1"/>
        <v>159.50000000000003</v>
      </c>
    </row>
    <row r="19" spans="1:25" ht="138.75" customHeight="1" x14ac:dyDescent="0.25">
      <c r="A19" s="82" t="s">
        <v>38</v>
      </c>
      <c r="B19" s="83" t="s">
        <v>39</v>
      </c>
      <c r="C19" s="123" t="s">
        <v>223</v>
      </c>
      <c r="D19" s="151" t="s">
        <v>285</v>
      </c>
      <c r="E19" s="126" t="s">
        <v>366</v>
      </c>
      <c r="F19" s="126">
        <v>44196</v>
      </c>
      <c r="G19" s="126" t="s">
        <v>366</v>
      </c>
      <c r="H19" s="126" t="s">
        <v>138</v>
      </c>
      <c r="I19" s="141">
        <v>527.4</v>
      </c>
      <c r="J19" s="141">
        <v>527.4</v>
      </c>
      <c r="K19" s="141">
        <v>456.7</v>
      </c>
      <c r="L19" s="141">
        <f>1000.2-J19</f>
        <v>472.80000000000007</v>
      </c>
      <c r="M19" s="141">
        <v>665.8</v>
      </c>
      <c r="N19" s="141">
        <f>1665.9-L19-J19</f>
        <v>665.69999999999993</v>
      </c>
      <c r="O19" s="141">
        <v>1246.5</v>
      </c>
      <c r="P19" s="141">
        <v>0</v>
      </c>
      <c r="Q19" s="150" t="s">
        <v>138</v>
      </c>
      <c r="R19" s="110">
        <f t="shared" si="2"/>
        <v>2896.3999999999996</v>
      </c>
      <c r="S19" s="110"/>
      <c r="T19" s="13">
        <f>1439.4-J19</f>
        <v>912.00000000000011</v>
      </c>
      <c r="U19" s="13">
        <f t="shared" si="3"/>
        <v>1000.2</v>
      </c>
      <c r="V19" s="13">
        <v>2232.4</v>
      </c>
      <c r="X19" s="14">
        <f t="shared" si="0"/>
        <v>1232.1999999999998</v>
      </c>
      <c r="Y19" s="14">
        <f t="shared" si="1"/>
        <v>566.49999999999989</v>
      </c>
    </row>
    <row r="20" spans="1:25" ht="144" customHeight="1" x14ac:dyDescent="0.25">
      <c r="A20" s="151"/>
      <c r="B20" s="83" t="s">
        <v>327</v>
      </c>
      <c r="C20" s="123" t="s">
        <v>223</v>
      </c>
      <c r="D20" s="151" t="s">
        <v>285</v>
      </c>
      <c r="E20" s="126"/>
      <c r="F20" s="126" t="s">
        <v>367</v>
      </c>
      <c r="G20" s="122" t="s">
        <v>138</v>
      </c>
      <c r="H20" s="210" t="s">
        <v>468</v>
      </c>
      <c r="I20" s="122" t="s">
        <v>138</v>
      </c>
      <c r="J20" s="122" t="s">
        <v>138</v>
      </c>
      <c r="K20" s="122" t="s">
        <v>138</v>
      </c>
      <c r="L20" s="122" t="s">
        <v>138</v>
      </c>
      <c r="M20" s="122" t="s">
        <v>138</v>
      </c>
      <c r="N20" s="122" t="s">
        <v>138</v>
      </c>
      <c r="O20" s="122" t="s">
        <v>138</v>
      </c>
      <c r="P20" s="122" t="s">
        <v>138</v>
      </c>
      <c r="Q20" s="122" t="s">
        <v>138</v>
      </c>
      <c r="R20" s="110" t="e">
        <f t="shared" si="2"/>
        <v>#VALUE!</v>
      </c>
      <c r="S20" s="110"/>
      <c r="U20" s="13" t="e">
        <f t="shared" si="3"/>
        <v>#VALUE!</v>
      </c>
      <c r="X20" s="14" t="e">
        <f t="shared" si="0"/>
        <v>#VALUE!</v>
      </c>
      <c r="Y20" s="14" t="e">
        <f t="shared" si="1"/>
        <v>#VALUE!</v>
      </c>
    </row>
    <row r="21" spans="1:25" ht="150.75" customHeight="1" x14ac:dyDescent="0.25">
      <c r="A21" s="151"/>
      <c r="B21" s="83" t="s">
        <v>328</v>
      </c>
      <c r="C21" s="123" t="s">
        <v>223</v>
      </c>
      <c r="D21" s="151" t="s">
        <v>285</v>
      </c>
      <c r="E21" s="126" t="s">
        <v>138</v>
      </c>
      <c r="F21" s="126">
        <v>43882</v>
      </c>
      <c r="G21" s="122" t="s">
        <v>138</v>
      </c>
      <c r="H21" s="126">
        <v>43882</v>
      </c>
      <c r="I21" s="122" t="s">
        <v>138</v>
      </c>
      <c r="J21" s="122" t="s">
        <v>138</v>
      </c>
      <c r="K21" s="122" t="s">
        <v>138</v>
      </c>
      <c r="L21" s="122" t="s">
        <v>138</v>
      </c>
      <c r="M21" s="122" t="s">
        <v>138</v>
      </c>
      <c r="N21" s="122" t="s">
        <v>138</v>
      </c>
      <c r="O21" s="122" t="s">
        <v>138</v>
      </c>
      <c r="P21" s="122" t="s">
        <v>138</v>
      </c>
      <c r="Q21" s="122" t="s">
        <v>138</v>
      </c>
      <c r="R21" s="110" t="e">
        <f t="shared" si="2"/>
        <v>#VALUE!</v>
      </c>
      <c r="S21" s="110"/>
      <c r="U21" s="13" t="e">
        <f t="shared" si="3"/>
        <v>#VALUE!</v>
      </c>
      <c r="X21" s="14" t="e">
        <f t="shared" si="0"/>
        <v>#VALUE!</v>
      </c>
      <c r="Y21" s="14" t="e">
        <f t="shared" si="1"/>
        <v>#VALUE!</v>
      </c>
    </row>
    <row r="22" spans="1:25" ht="178.5" customHeight="1" x14ac:dyDescent="0.25">
      <c r="A22" s="151"/>
      <c r="B22" s="83" t="s">
        <v>329</v>
      </c>
      <c r="C22" s="123" t="s">
        <v>223</v>
      </c>
      <c r="D22" s="151" t="s">
        <v>285</v>
      </c>
      <c r="E22" s="126" t="s">
        <v>138</v>
      </c>
      <c r="F22" s="126">
        <v>43902</v>
      </c>
      <c r="G22" s="122" t="s">
        <v>138</v>
      </c>
      <c r="H22" s="126">
        <v>43902</v>
      </c>
      <c r="I22" s="122" t="s">
        <v>138</v>
      </c>
      <c r="J22" s="122" t="s">
        <v>138</v>
      </c>
      <c r="K22" s="122" t="s">
        <v>138</v>
      </c>
      <c r="L22" s="122" t="s">
        <v>138</v>
      </c>
      <c r="M22" s="122" t="s">
        <v>138</v>
      </c>
      <c r="N22" s="122" t="s">
        <v>138</v>
      </c>
      <c r="O22" s="122" t="s">
        <v>138</v>
      </c>
      <c r="P22" s="122" t="s">
        <v>138</v>
      </c>
      <c r="Q22" s="122" t="s">
        <v>138</v>
      </c>
      <c r="R22" s="110" t="e">
        <f t="shared" si="2"/>
        <v>#VALUE!</v>
      </c>
      <c r="S22" s="110"/>
      <c r="U22" s="13" t="e">
        <f t="shared" si="3"/>
        <v>#VALUE!</v>
      </c>
      <c r="X22" s="14" t="e">
        <f t="shared" si="0"/>
        <v>#VALUE!</v>
      </c>
      <c r="Y22" s="14" t="e">
        <f t="shared" si="1"/>
        <v>#VALUE!</v>
      </c>
    </row>
    <row r="23" spans="1:25" ht="146.25" customHeight="1" x14ac:dyDescent="0.25">
      <c r="A23" s="151"/>
      <c r="B23" s="83" t="s">
        <v>330</v>
      </c>
      <c r="C23" s="123" t="s">
        <v>223</v>
      </c>
      <c r="D23" s="151" t="s">
        <v>285</v>
      </c>
      <c r="E23" s="126" t="s">
        <v>138</v>
      </c>
      <c r="F23" s="126" t="s">
        <v>416</v>
      </c>
      <c r="G23" s="122" t="s">
        <v>138</v>
      </c>
      <c r="H23" s="126" t="s">
        <v>138</v>
      </c>
      <c r="I23" s="122" t="s">
        <v>138</v>
      </c>
      <c r="J23" s="122" t="s">
        <v>138</v>
      </c>
      <c r="K23" s="122" t="s">
        <v>138</v>
      </c>
      <c r="L23" s="122" t="s">
        <v>138</v>
      </c>
      <c r="M23" s="122" t="s">
        <v>138</v>
      </c>
      <c r="N23" s="122" t="s">
        <v>138</v>
      </c>
      <c r="O23" s="122" t="s">
        <v>138</v>
      </c>
      <c r="P23" s="122" t="s">
        <v>138</v>
      </c>
      <c r="Q23" s="122" t="s">
        <v>138</v>
      </c>
      <c r="R23" s="110" t="e">
        <f t="shared" si="2"/>
        <v>#VALUE!</v>
      </c>
      <c r="S23" s="110"/>
      <c r="U23" s="13" t="e">
        <f t="shared" si="3"/>
        <v>#VALUE!</v>
      </c>
      <c r="X23" s="14" t="e">
        <f t="shared" si="0"/>
        <v>#VALUE!</v>
      </c>
      <c r="Y23" s="14" t="e">
        <f t="shared" si="1"/>
        <v>#VALUE!</v>
      </c>
    </row>
    <row r="24" spans="1:25" ht="141" customHeight="1" x14ac:dyDescent="0.25">
      <c r="A24" s="151"/>
      <c r="B24" s="83" t="s">
        <v>331</v>
      </c>
      <c r="C24" s="123" t="s">
        <v>223</v>
      </c>
      <c r="D24" s="151" t="s">
        <v>285</v>
      </c>
      <c r="E24" s="126" t="s">
        <v>138</v>
      </c>
      <c r="F24" s="126">
        <v>44165</v>
      </c>
      <c r="G24" s="122" t="s">
        <v>138</v>
      </c>
      <c r="H24" s="126" t="s">
        <v>138</v>
      </c>
      <c r="I24" s="122" t="s">
        <v>138</v>
      </c>
      <c r="J24" s="122" t="s">
        <v>138</v>
      </c>
      <c r="K24" s="122" t="s">
        <v>138</v>
      </c>
      <c r="L24" s="122" t="s">
        <v>138</v>
      </c>
      <c r="M24" s="122" t="s">
        <v>138</v>
      </c>
      <c r="N24" s="122" t="s">
        <v>138</v>
      </c>
      <c r="O24" s="122" t="s">
        <v>138</v>
      </c>
      <c r="P24" s="122" t="s">
        <v>138</v>
      </c>
      <c r="Q24" s="122" t="s">
        <v>138</v>
      </c>
      <c r="R24" s="110" t="e">
        <f t="shared" si="2"/>
        <v>#VALUE!</v>
      </c>
      <c r="S24" s="110"/>
      <c r="U24" s="13" t="e">
        <f t="shared" si="3"/>
        <v>#VALUE!</v>
      </c>
      <c r="X24" s="14" t="e">
        <f t="shared" si="0"/>
        <v>#VALUE!</v>
      </c>
      <c r="Y24" s="14" t="e">
        <f t="shared" si="1"/>
        <v>#VALUE!</v>
      </c>
    </row>
    <row r="25" spans="1:25" s="63" customFormat="1" ht="141" customHeight="1" x14ac:dyDescent="0.25">
      <c r="A25" s="151"/>
      <c r="B25" s="83" t="s">
        <v>355</v>
      </c>
      <c r="C25" s="123"/>
      <c r="D25" s="151" t="s">
        <v>285</v>
      </c>
      <c r="E25" s="126" t="s">
        <v>138</v>
      </c>
      <c r="F25" s="126">
        <v>44165</v>
      </c>
      <c r="G25" s="122" t="s">
        <v>138</v>
      </c>
      <c r="H25" s="126" t="s">
        <v>138</v>
      </c>
      <c r="I25" s="122" t="s">
        <v>138</v>
      </c>
      <c r="J25" s="122" t="s">
        <v>138</v>
      </c>
      <c r="K25" s="122" t="s">
        <v>138</v>
      </c>
      <c r="L25" s="122" t="s">
        <v>138</v>
      </c>
      <c r="M25" s="122" t="s">
        <v>138</v>
      </c>
      <c r="N25" s="122" t="s">
        <v>138</v>
      </c>
      <c r="O25" s="122" t="s">
        <v>138</v>
      </c>
      <c r="P25" s="122" t="s">
        <v>138</v>
      </c>
      <c r="Q25" s="122" t="s">
        <v>138</v>
      </c>
      <c r="R25" s="110" t="e">
        <f t="shared" si="2"/>
        <v>#VALUE!</v>
      </c>
      <c r="S25" s="110"/>
      <c r="X25" s="14"/>
      <c r="Y25" s="14"/>
    </row>
    <row r="26" spans="1:25" s="63" customFormat="1" ht="163.5" customHeight="1" x14ac:dyDescent="0.25">
      <c r="A26" s="151"/>
      <c r="B26" s="83" t="s">
        <v>356</v>
      </c>
      <c r="C26" s="123"/>
      <c r="D26" s="151" t="s">
        <v>285</v>
      </c>
      <c r="E26" s="126" t="s">
        <v>138</v>
      </c>
      <c r="F26" s="126">
        <v>44183</v>
      </c>
      <c r="G26" s="122" t="s">
        <v>138</v>
      </c>
      <c r="H26" s="126" t="s">
        <v>138</v>
      </c>
      <c r="I26" s="122" t="s">
        <v>138</v>
      </c>
      <c r="J26" s="122" t="s">
        <v>138</v>
      </c>
      <c r="K26" s="122" t="s">
        <v>138</v>
      </c>
      <c r="L26" s="122" t="s">
        <v>138</v>
      </c>
      <c r="M26" s="122" t="s">
        <v>138</v>
      </c>
      <c r="N26" s="122" t="s">
        <v>138</v>
      </c>
      <c r="O26" s="122" t="s">
        <v>138</v>
      </c>
      <c r="P26" s="122" t="s">
        <v>138</v>
      </c>
      <c r="Q26" s="122" t="s">
        <v>138</v>
      </c>
      <c r="R26" s="110" t="e">
        <f t="shared" si="2"/>
        <v>#VALUE!</v>
      </c>
      <c r="S26" s="110"/>
      <c r="X26" s="14"/>
      <c r="Y26" s="14"/>
    </row>
    <row r="27" spans="1:25" ht="161.25" customHeight="1" x14ac:dyDescent="0.25">
      <c r="A27" s="82" t="s">
        <v>40</v>
      </c>
      <c r="B27" s="83" t="s">
        <v>41</v>
      </c>
      <c r="C27" s="123" t="s">
        <v>223</v>
      </c>
      <c r="D27" s="151" t="s">
        <v>417</v>
      </c>
      <c r="E27" s="126">
        <v>43839</v>
      </c>
      <c r="F27" s="126">
        <v>44196</v>
      </c>
      <c r="G27" s="126">
        <v>43839</v>
      </c>
      <c r="H27" s="126" t="s">
        <v>138</v>
      </c>
      <c r="I27" s="141">
        <v>709</v>
      </c>
      <c r="J27" s="150">
        <v>717.3</v>
      </c>
      <c r="K27" s="150">
        <v>2025.8</v>
      </c>
      <c r="L27" s="150">
        <f>2750.4-J27</f>
        <v>2033.1000000000001</v>
      </c>
      <c r="M27" s="150">
        <v>2397.1999999999998</v>
      </c>
      <c r="N27" s="141">
        <f>5191.7-L27-J27</f>
        <v>2441.2999999999993</v>
      </c>
      <c r="O27" s="150">
        <v>3027.6</v>
      </c>
      <c r="P27" s="141">
        <v>0</v>
      </c>
      <c r="Q27" s="150" t="s">
        <v>138</v>
      </c>
      <c r="R27" s="110">
        <f t="shared" si="2"/>
        <v>8159.6</v>
      </c>
      <c r="S27" s="110"/>
      <c r="T27" s="13">
        <f>3490.4-J27</f>
        <v>2773.1000000000004</v>
      </c>
      <c r="U27" s="13">
        <f t="shared" ref="U27:U54" si="4">J27+L27</f>
        <v>2750.4</v>
      </c>
      <c r="V27" s="13">
        <v>6606.8</v>
      </c>
      <c r="X27" s="14">
        <f t="shared" ref="X27:X54" si="5">V27-J27-L27</f>
        <v>3856.3999999999996</v>
      </c>
      <c r="Y27" s="14">
        <f t="shared" ref="Y27:Y54" si="6">X27-N27</f>
        <v>1415.1000000000004</v>
      </c>
    </row>
    <row r="28" spans="1:25" ht="194.25" customHeight="1" x14ac:dyDescent="0.25">
      <c r="A28" s="151"/>
      <c r="B28" s="83" t="s">
        <v>332</v>
      </c>
      <c r="C28" s="123" t="s">
        <v>223</v>
      </c>
      <c r="D28" s="151" t="s">
        <v>417</v>
      </c>
      <c r="E28" s="126" t="s">
        <v>138</v>
      </c>
      <c r="F28" s="126">
        <v>43959</v>
      </c>
      <c r="G28" s="122" t="s">
        <v>138</v>
      </c>
      <c r="H28" s="126">
        <v>43902</v>
      </c>
      <c r="I28" s="122" t="s">
        <v>138</v>
      </c>
      <c r="J28" s="122" t="s">
        <v>138</v>
      </c>
      <c r="K28" s="122" t="s">
        <v>138</v>
      </c>
      <c r="L28" s="122" t="s">
        <v>138</v>
      </c>
      <c r="M28" s="122" t="s">
        <v>138</v>
      </c>
      <c r="N28" s="122" t="s">
        <v>138</v>
      </c>
      <c r="O28" s="122" t="s">
        <v>138</v>
      </c>
      <c r="P28" s="122" t="s">
        <v>138</v>
      </c>
      <c r="Q28" s="122" t="s">
        <v>138</v>
      </c>
      <c r="R28" s="110" t="e">
        <f t="shared" si="2"/>
        <v>#VALUE!</v>
      </c>
      <c r="S28" s="110"/>
      <c r="U28" s="13" t="e">
        <f t="shared" si="4"/>
        <v>#VALUE!</v>
      </c>
      <c r="X28" s="14" t="e">
        <f t="shared" si="5"/>
        <v>#VALUE!</v>
      </c>
      <c r="Y28" s="14" t="e">
        <f t="shared" si="6"/>
        <v>#VALUE!</v>
      </c>
    </row>
    <row r="29" spans="1:25" ht="169.5" customHeight="1" x14ac:dyDescent="0.25">
      <c r="A29" s="151"/>
      <c r="B29" s="83" t="s">
        <v>333</v>
      </c>
      <c r="C29" s="123" t="s">
        <v>223</v>
      </c>
      <c r="D29" s="151" t="s">
        <v>417</v>
      </c>
      <c r="E29" s="126" t="s">
        <v>138</v>
      </c>
      <c r="F29" s="126">
        <v>44026</v>
      </c>
      <c r="G29" s="122" t="s">
        <v>138</v>
      </c>
      <c r="H29" s="209">
        <v>44026</v>
      </c>
      <c r="I29" s="122" t="s">
        <v>138</v>
      </c>
      <c r="J29" s="122" t="s">
        <v>138</v>
      </c>
      <c r="K29" s="122" t="s">
        <v>138</v>
      </c>
      <c r="L29" s="122" t="s">
        <v>138</v>
      </c>
      <c r="M29" s="122" t="s">
        <v>138</v>
      </c>
      <c r="N29" s="122" t="s">
        <v>138</v>
      </c>
      <c r="O29" s="122" t="s">
        <v>138</v>
      </c>
      <c r="P29" s="122" t="s">
        <v>138</v>
      </c>
      <c r="Q29" s="122" t="s">
        <v>138</v>
      </c>
      <c r="R29" s="110" t="e">
        <f t="shared" si="2"/>
        <v>#VALUE!</v>
      </c>
      <c r="S29" s="110"/>
      <c r="U29" s="13" t="e">
        <f t="shared" si="4"/>
        <v>#VALUE!</v>
      </c>
      <c r="X29" s="14" t="e">
        <f t="shared" si="5"/>
        <v>#VALUE!</v>
      </c>
      <c r="Y29" s="14" t="e">
        <f t="shared" si="6"/>
        <v>#VALUE!</v>
      </c>
    </row>
    <row r="30" spans="1:25" ht="246.75" customHeight="1" x14ac:dyDescent="0.25">
      <c r="A30" s="82" t="s">
        <v>42</v>
      </c>
      <c r="B30" s="83" t="s">
        <v>43</v>
      </c>
      <c r="C30" s="123" t="s">
        <v>223</v>
      </c>
      <c r="D30" s="151" t="s">
        <v>417</v>
      </c>
      <c r="E30" s="126">
        <v>43839</v>
      </c>
      <c r="F30" s="126">
        <v>44196</v>
      </c>
      <c r="G30" s="126">
        <v>43839</v>
      </c>
      <c r="H30" s="126" t="s">
        <v>138</v>
      </c>
      <c r="I30" s="141">
        <v>632.29999999999995</v>
      </c>
      <c r="J30" s="141">
        <v>724.2</v>
      </c>
      <c r="K30" s="150">
        <v>1706.8</v>
      </c>
      <c r="L30" s="141">
        <f>2351.6-J30</f>
        <v>1627.3999999999999</v>
      </c>
      <c r="M30" s="150">
        <v>13411.1</v>
      </c>
      <c r="N30" s="141">
        <f>16051.8-L30-J30</f>
        <v>13700.199999999999</v>
      </c>
      <c r="O30" s="150">
        <v>13258.8</v>
      </c>
      <c r="P30" s="141">
        <v>0</v>
      </c>
      <c r="Q30" s="150" t="s">
        <v>138</v>
      </c>
      <c r="R30" s="110">
        <f t="shared" si="2"/>
        <v>29009</v>
      </c>
      <c r="S30" s="110"/>
      <c r="T30" s="14">
        <f>7350.9-J30</f>
        <v>6626.7</v>
      </c>
      <c r="U30" s="13">
        <f t="shared" si="4"/>
        <v>2351.6</v>
      </c>
      <c r="V30" s="13">
        <v>24997.7</v>
      </c>
      <c r="X30" s="14">
        <f t="shared" si="5"/>
        <v>22646.1</v>
      </c>
      <c r="Y30" s="14">
        <f t="shared" si="6"/>
        <v>8945.9</v>
      </c>
    </row>
    <row r="31" spans="1:25" ht="222" customHeight="1" x14ac:dyDescent="0.25">
      <c r="A31" s="151"/>
      <c r="B31" s="83" t="s">
        <v>334</v>
      </c>
      <c r="C31" s="123" t="s">
        <v>223</v>
      </c>
      <c r="D31" s="151" t="s">
        <v>417</v>
      </c>
      <c r="E31" s="126" t="s">
        <v>138</v>
      </c>
      <c r="F31" s="126">
        <v>43959</v>
      </c>
      <c r="G31" s="122" t="s">
        <v>138</v>
      </c>
      <c r="H31" s="126">
        <v>43902</v>
      </c>
      <c r="I31" s="122" t="s">
        <v>138</v>
      </c>
      <c r="J31" s="122" t="s">
        <v>138</v>
      </c>
      <c r="K31" s="122" t="s">
        <v>138</v>
      </c>
      <c r="L31" s="122" t="s">
        <v>138</v>
      </c>
      <c r="M31" s="122" t="s">
        <v>138</v>
      </c>
      <c r="N31" s="122" t="s">
        <v>138</v>
      </c>
      <c r="O31" s="122" t="s">
        <v>138</v>
      </c>
      <c r="P31" s="122" t="s">
        <v>138</v>
      </c>
      <c r="Q31" s="122" t="s">
        <v>138</v>
      </c>
      <c r="R31" s="110" t="e">
        <f t="shared" si="2"/>
        <v>#VALUE!</v>
      </c>
      <c r="S31" s="110"/>
      <c r="U31" s="13" t="e">
        <f t="shared" si="4"/>
        <v>#VALUE!</v>
      </c>
      <c r="X31" s="14" t="e">
        <f t="shared" si="5"/>
        <v>#VALUE!</v>
      </c>
      <c r="Y31" s="14" t="e">
        <f t="shared" si="6"/>
        <v>#VALUE!</v>
      </c>
    </row>
    <row r="32" spans="1:25" ht="206.25" customHeight="1" x14ac:dyDescent="0.25">
      <c r="A32" s="151"/>
      <c r="B32" s="83" t="s">
        <v>348</v>
      </c>
      <c r="C32" s="123" t="s">
        <v>223</v>
      </c>
      <c r="D32" s="151" t="s">
        <v>417</v>
      </c>
      <c r="E32" s="126" t="s">
        <v>138</v>
      </c>
      <c r="F32" s="209" t="s">
        <v>469</v>
      </c>
      <c r="G32" s="122" t="s">
        <v>138</v>
      </c>
      <c r="H32" s="209" t="s">
        <v>469</v>
      </c>
      <c r="I32" s="122" t="s">
        <v>138</v>
      </c>
      <c r="J32" s="122" t="s">
        <v>138</v>
      </c>
      <c r="K32" s="122" t="s">
        <v>138</v>
      </c>
      <c r="L32" s="122" t="s">
        <v>138</v>
      </c>
      <c r="M32" s="122" t="s">
        <v>138</v>
      </c>
      <c r="N32" s="122" t="s">
        <v>138</v>
      </c>
      <c r="O32" s="122" t="s">
        <v>138</v>
      </c>
      <c r="P32" s="122" t="s">
        <v>138</v>
      </c>
      <c r="Q32" s="122" t="s">
        <v>138</v>
      </c>
      <c r="R32" s="110" t="e">
        <f t="shared" si="2"/>
        <v>#VALUE!</v>
      </c>
      <c r="S32" s="110"/>
      <c r="U32" s="13" t="e">
        <f t="shared" si="4"/>
        <v>#VALUE!</v>
      </c>
      <c r="X32" s="14" t="e">
        <f t="shared" si="5"/>
        <v>#VALUE!</v>
      </c>
      <c r="Y32" s="14" t="e">
        <f t="shared" si="6"/>
        <v>#VALUE!</v>
      </c>
    </row>
    <row r="33" spans="1:25" ht="409.6" customHeight="1" x14ac:dyDescent="0.25">
      <c r="A33" s="82" t="s">
        <v>224</v>
      </c>
      <c r="B33" s="83" t="s">
        <v>314</v>
      </c>
      <c r="C33" s="123" t="s">
        <v>223</v>
      </c>
      <c r="D33" s="151" t="s">
        <v>417</v>
      </c>
      <c r="E33" s="126">
        <v>43839</v>
      </c>
      <c r="F33" s="126">
        <v>44196</v>
      </c>
      <c r="G33" s="126">
        <v>43839</v>
      </c>
      <c r="H33" s="126" t="s">
        <v>138</v>
      </c>
      <c r="I33" s="150">
        <v>2690.4</v>
      </c>
      <c r="J33" s="141">
        <v>3268</v>
      </c>
      <c r="K33" s="150">
        <v>3178.3</v>
      </c>
      <c r="L33" s="141">
        <f>6742.1-J33</f>
        <v>3474.1000000000004</v>
      </c>
      <c r="M33" s="150">
        <v>18248.7</v>
      </c>
      <c r="N33" s="141">
        <f>24990.7-L33-J33</f>
        <v>18248.599999999999</v>
      </c>
      <c r="O33" s="141">
        <v>19932.099999999999</v>
      </c>
      <c r="P33" s="141">
        <v>0</v>
      </c>
      <c r="Q33" s="150" t="s">
        <v>138</v>
      </c>
      <c r="R33" s="110">
        <f t="shared" si="2"/>
        <v>44049.5</v>
      </c>
      <c r="S33" s="110"/>
      <c r="T33" s="13" t="s">
        <v>306</v>
      </c>
      <c r="U33" s="13">
        <f t="shared" si="4"/>
        <v>6742.1</v>
      </c>
      <c r="V33" s="13">
        <v>34396.800000000003</v>
      </c>
      <c r="X33" s="14">
        <f t="shared" si="5"/>
        <v>27654.700000000004</v>
      </c>
      <c r="Y33" s="14">
        <f t="shared" si="6"/>
        <v>9406.1000000000058</v>
      </c>
    </row>
    <row r="34" spans="1:25" ht="175.5" customHeight="1" x14ac:dyDescent="0.25">
      <c r="A34" s="151"/>
      <c r="B34" s="83" t="s">
        <v>335</v>
      </c>
      <c r="C34" s="123" t="s">
        <v>223</v>
      </c>
      <c r="D34" s="151" t="s">
        <v>417</v>
      </c>
      <c r="E34" s="126" t="s">
        <v>138</v>
      </c>
      <c r="F34" s="126">
        <v>44027</v>
      </c>
      <c r="G34" s="122" t="s">
        <v>138</v>
      </c>
      <c r="H34" s="209">
        <v>44026</v>
      </c>
      <c r="I34" s="122" t="s">
        <v>138</v>
      </c>
      <c r="J34" s="122" t="s">
        <v>138</v>
      </c>
      <c r="K34" s="122" t="s">
        <v>138</v>
      </c>
      <c r="L34" s="122" t="s">
        <v>138</v>
      </c>
      <c r="M34" s="122" t="s">
        <v>138</v>
      </c>
      <c r="N34" s="122" t="s">
        <v>138</v>
      </c>
      <c r="O34" s="122" t="s">
        <v>138</v>
      </c>
      <c r="P34" s="122" t="s">
        <v>138</v>
      </c>
      <c r="Q34" s="122" t="s">
        <v>138</v>
      </c>
      <c r="R34" s="110" t="e">
        <f t="shared" si="2"/>
        <v>#VALUE!</v>
      </c>
      <c r="S34" s="110"/>
      <c r="U34" s="13" t="e">
        <f t="shared" si="4"/>
        <v>#VALUE!</v>
      </c>
      <c r="X34" s="14" t="e">
        <f t="shared" si="5"/>
        <v>#VALUE!</v>
      </c>
      <c r="Y34" s="14" t="e">
        <f t="shared" si="6"/>
        <v>#VALUE!</v>
      </c>
    </row>
    <row r="35" spans="1:25" ht="159.75" customHeight="1" x14ac:dyDescent="0.25">
      <c r="A35" s="82" t="s">
        <v>84</v>
      </c>
      <c r="B35" s="83" t="s">
        <v>347</v>
      </c>
      <c r="C35" s="123" t="s">
        <v>223</v>
      </c>
      <c r="D35" s="151" t="s">
        <v>287</v>
      </c>
      <c r="E35" s="126">
        <v>43839</v>
      </c>
      <c r="F35" s="126">
        <v>44196</v>
      </c>
      <c r="G35" s="126">
        <v>43839</v>
      </c>
      <c r="H35" s="209" t="s">
        <v>467</v>
      </c>
      <c r="I35" s="122" t="s">
        <v>138</v>
      </c>
      <c r="J35" s="122" t="s">
        <v>138</v>
      </c>
      <c r="K35" s="122" t="s">
        <v>138</v>
      </c>
      <c r="L35" s="122" t="s">
        <v>138</v>
      </c>
      <c r="M35" s="122" t="s">
        <v>138</v>
      </c>
      <c r="N35" s="122" t="s">
        <v>138</v>
      </c>
      <c r="O35" s="122" t="s">
        <v>138</v>
      </c>
      <c r="P35" s="122" t="s">
        <v>138</v>
      </c>
      <c r="Q35" s="122" t="s">
        <v>138</v>
      </c>
      <c r="R35" s="110" t="e">
        <f t="shared" si="2"/>
        <v>#VALUE!</v>
      </c>
      <c r="S35" s="110"/>
      <c r="U35" s="13" t="e">
        <f t="shared" si="4"/>
        <v>#VALUE!</v>
      </c>
      <c r="X35" s="14" t="e">
        <f t="shared" si="5"/>
        <v>#VALUE!</v>
      </c>
      <c r="Y35" s="14" t="e">
        <f t="shared" si="6"/>
        <v>#VALUE!</v>
      </c>
    </row>
    <row r="36" spans="1:25" ht="141" customHeight="1" x14ac:dyDescent="0.25">
      <c r="A36" s="82" t="s">
        <v>244</v>
      </c>
      <c r="B36" s="83" t="s">
        <v>251</v>
      </c>
      <c r="C36" s="123" t="s">
        <v>223</v>
      </c>
      <c r="D36" s="151" t="s">
        <v>286</v>
      </c>
      <c r="E36" s="126">
        <v>43839</v>
      </c>
      <c r="F36" s="126">
        <v>44196</v>
      </c>
      <c r="G36" s="126">
        <v>43839</v>
      </c>
      <c r="H36" s="126" t="s">
        <v>138</v>
      </c>
      <c r="I36" s="141">
        <f t="shared" ref="I36:J36" si="7">I37+I38</f>
        <v>0</v>
      </c>
      <c r="J36" s="141">
        <f t="shared" si="7"/>
        <v>0</v>
      </c>
      <c r="K36" s="141">
        <v>0</v>
      </c>
      <c r="L36" s="141">
        <f t="shared" ref="L36:P36" si="8">L37+L38</f>
        <v>0</v>
      </c>
      <c r="M36" s="141">
        <v>2788.2</v>
      </c>
      <c r="N36" s="141">
        <v>3156.3</v>
      </c>
      <c r="O36" s="141">
        <v>6975.5</v>
      </c>
      <c r="P36" s="141">
        <f t="shared" si="8"/>
        <v>0</v>
      </c>
      <c r="Q36" s="150" t="s">
        <v>138</v>
      </c>
      <c r="R36" s="110">
        <f t="shared" si="2"/>
        <v>9763.7000000000007</v>
      </c>
      <c r="S36" s="110"/>
      <c r="U36" s="13">
        <f t="shared" si="4"/>
        <v>0</v>
      </c>
      <c r="V36" s="13">
        <f>V37+V38</f>
        <v>1016.4</v>
      </c>
      <c r="X36" s="14">
        <f t="shared" si="5"/>
        <v>1016.4</v>
      </c>
      <c r="Y36" s="14">
        <f t="shared" si="6"/>
        <v>-2139.9</v>
      </c>
    </row>
    <row r="37" spans="1:25" x14ac:dyDescent="0.25">
      <c r="A37" s="82"/>
      <c r="B37" s="83" t="s">
        <v>228</v>
      </c>
      <c r="C37" s="123"/>
      <c r="D37" s="151"/>
      <c r="E37" s="126"/>
      <c r="F37" s="126"/>
      <c r="G37" s="126"/>
      <c r="H37" s="126"/>
      <c r="I37" s="141">
        <v>0</v>
      </c>
      <c r="J37" s="141">
        <v>0</v>
      </c>
      <c r="K37" s="141">
        <v>0</v>
      </c>
      <c r="L37" s="141">
        <v>0</v>
      </c>
      <c r="M37" s="141">
        <v>111.5</v>
      </c>
      <c r="N37" s="141">
        <f>N36-N38</f>
        <v>126.30000000000018</v>
      </c>
      <c r="O37" s="141">
        <v>6764.5</v>
      </c>
      <c r="P37" s="141">
        <v>0</v>
      </c>
      <c r="Q37" s="150"/>
      <c r="R37" s="110">
        <f t="shared" si="2"/>
        <v>6876</v>
      </c>
      <c r="S37" s="110"/>
      <c r="U37" s="13">
        <f t="shared" si="4"/>
        <v>0</v>
      </c>
      <c r="V37" s="13">
        <v>53.5</v>
      </c>
      <c r="X37" s="14">
        <f t="shared" si="5"/>
        <v>53.5</v>
      </c>
      <c r="Y37" s="14">
        <f t="shared" si="6"/>
        <v>-72.800000000000182</v>
      </c>
    </row>
    <row r="38" spans="1:25" x14ac:dyDescent="0.25">
      <c r="A38" s="82"/>
      <c r="B38" s="83" t="s">
        <v>226</v>
      </c>
      <c r="C38" s="123"/>
      <c r="D38" s="151"/>
      <c r="E38" s="126"/>
      <c r="F38" s="126"/>
      <c r="G38" s="126"/>
      <c r="H38" s="126"/>
      <c r="I38" s="141">
        <v>0</v>
      </c>
      <c r="J38" s="141">
        <v>0</v>
      </c>
      <c r="K38" s="141">
        <v>0</v>
      </c>
      <c r="L38" s="141">
        <v>0</v>
      </c>
      <c r="M38" s="141">
        <v>2676.7</v>
      </c>
      <c r="N38" s="141">
        <v>3030</v>
      </c>
      <c r="O38" s="141">
        <v>211</v>
      </c>
      <c r="P38" s="141">
        <v>0</v>
      </c>
      <c r="Q38" s="150"/>
      <c r="R38" s="110">
        <f t="shared" si="2"/>
        <v>2887.7</v>
      </c>
      <c r="S38" s="110"/>
      <c r="U38" s="13">
        <f t="shared" si="4"/>
        <v>0</v>
      </c>
      <c r="V38" s="13">
        <v>962.9</v>
      </c>
      <c r="X38" s="14">
        <f t="shared" si="5"/>
        <v>962.9</v>
      </c>
      <c r="Y38" s="14">
        <f t="shared" si="6"/>
        <v>-2067.1</v>
      </c>
    </row>
    <row r="39" spans="1:25" s="63" customFormat="1" ht="235.5" customHeight="1" x14ac:dyDescent="0.25">
      <c r="A39" s="82" t="s">
        <v>449</v>
      </c>
      <c r="B39" s="83" t="s">
        <v>480</v>
      </c>
      <c r="C39" s="123"/>
      <c r="D39" s="151" t="s">
        <v>286</v>
      </c>
      <c r="E39" s="126">
        <v>44075</v>
      </c>
      <c r="F39" s="126">
        <v>44196</v>
      </c>
      <c r="G39" s="126">
        <v>44075</v>
      </c>
      <c r="H39" s="126" t="s">
        <v>138</v>
      </c>
      <c r="I39" s="141">
        <v>0</v>
      </c>
      <c r="J39" s="141">
        <v>0</v>
      </c>
      <c r="K39" s="141">
        <v>0</v>
      </c>
      <c r="L39" s="141">
        <v>0</v>
      </c>
      <c r="M39" s="141">
        <v>0</v>
      </c>
      <c r="N39" s="141">
        <v>0</v>
      </c>
      <c r="O39" s="141">
        <v>133500.5</v>
      </c>
      <c r="P39" s="141">
        <v>0</v>
      </c>
      <c r="Q39" s="150"/>
      <c r="R39" s="110">
        <f t="shared" si="2"/>
        <v>133500.5</v>
      </c>
      <c r="S39" s="110"/>
      <c r="X39" s="14"/>
      <c r="Y39" s="14"/>
    </row>
    <row r="40" spans="1:25" s="63" customFormat="1" ht="14.25" customHeight="1" x14ac:dyDescent="0.25">
      <c r="A40" s="82"/>
      <c r="B40" s="83" t="s">
        <v>228</v>
      </c>
      <c r="C40" s="123"/>
      <c r="D40" s="151"/>
      <c r="E40" s="126"/>
      <c r="F40" s="126"/>
      <c r="G40" s="126"/>
      <c r="H40" s="126"/>
      <c r="I40" s="141">
        <v>0</v>
      </c>
      <c r="J40" s="141">
        <v>0</v>
      </c>
      <c r="K40" s="141">
        <v>0</v>
      </c>
      <c r="L40" s="141">
        <v>0</v>
      </c>
      <c r="M40" s="141">
        <v>0</v>
      </c>
      <c r="N40" s="141">
        <v>0</v>
      </c>
      <c r="O40" s="141">
        <v>1335.1</v>
      </c>
      <c r="P40" s="141"/>
      <c r="Q40" s="150"/>
      <c r="R40" s="110">
        <f t="shared" si="2"/>
        <v>1335.1</v>
      </c>
      <c r="S40" s="110"/>
      <c r="X40" s="14"/>
      <c r="Y40" s="14"/>
    </row>
    <row r="41" spans="1:25" s="63" customFormat="1" ht="15" customHeight="1" x14ac:dyDescent="0.25">
      <c r="A41" s="82"/>
      <c r="B41" s="83" t="s">
        <v>226</v>
      </c>
      <c r="C41" s="123"/>
      <c r="D41" s="151"/>
      <c r="E41" s="126"/>
      <c r="F41" s="126"/>
      <c r="G41" s="126"/>
      <c r="H41" s="126"/>
      <c r="I41" s="141">
        <v>0</v>
      </c>
      <c r="J41" s="141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132165.4</v>
      </c>
      <c r="P41" s="141"/>
      <c r="Q41" s="150"/>
      <c r="R41" s="110">
        <f t="shared" si="2"/>
        <v>132165.4</v>
      </c>
      <c r="S41" s="110"/>
      <c r="X41" s="14"/>
      <c r="Y41" s="14"/>
    </row>
    <row r="42" spans="1:25" ht="147" customHeight="1" x14ac:dyDescent="0.25">
      <c r="A42" s="82" t="s">
        <v>44</v>
      </c>
      <c r="B42" s="83" t="s">
        <v>45</v>
      </c>
      <c r="C42" s="123" t="s">
        <v>223</v>
      </c>
      <c r="D42" s="151" t="s">
        <v>285</v>
      </c>
      <c r="E42" s="126">
        <v>43839</v>
      </c>
      <c r="F42" s="126">
        <v>44196</v>
      </c>
      <c r="G42" s="126">
        <v>43839</v>
      </c>
      <c r="H42" s="126" t="s">
        <v>138</v>
      </c>
      <c r="I42" s="122">
        <v>283.60000000000002</v>
      </c>
      <c r="J42" s="122">
        <v>283.60000000000002</v>
      </c>
      <c r="K42" s="122">
        <v>124.4</v>
      </c>
      <c r="L42" s="122">
        <f>408-J42</f>
        <v>124.39999999999998</v>
      </c>
      <c r="M42" s="122">
        <v>619.70000000000005</v>
      </c>
      <c r="N42" s="141">
        <f>1056.9-L42-J42</f>
        <v>648.90000000000009</v>
      </c>
      <c r="O42" s="122">
        <v>637.29999999999995</v>
      </c>
      <c r="P42" s="122">
        <v>0</v>
      </c>
      <c r="Q42" s="123" t="s">
        <v>138</v>
      </c>
      <c r="R42" s="110">
        <f t="shared" si="2"/>
        <v>1665</v>
      </c>
      <c r="S42" s="110"/>
      <c r="T42" s="13">
        <f>848.8-J42</f>
        <v>565.19999999999993</v>
      </c>
      <c r="U42" s="13">
        <f t="shared" si="4"/>
        <v>408</v>
      </c>
      <c r="V42" s="13">
        <v>1210</v>
      </c>
      <c r="X42" s="14">
        <f t="shared" si="5"/>
        <v>802</v>
      </c>
      <c r="Y42" s="14">
        <f t="shared" si="6"/>
        <v>153.09999999999991</v>
      </c>
    </row>
    <row r="43" spans="1:25" ht="147" customHeight="1" x14ac:dyDescent="0.25">
      <c r="A43" s="151"/>
      <c r="B43" s="83" t="s">
        <v>336</v>
      </c>
      <c r="C43" s="123" t="s">
        <v>223</v>
      </c>
      <c r="D43" s="151" t="s">
        <v>285</v>
      </c>
      <c r="E43" s="126" t="s">
        <v>138</v>
      </c>
      <c r="F43" s="126">
        <v>44084</v>
      </c>
      <c r="G43" s="122" t="s">
        <v>138</v>
      </c>
      <c r="H43" s="209">
        <v>44084</v>
      </c>
      <c r="I43" s="122" t="s">
        <v>138</v>
      </c>
      <c r="J43" s="122" t="s">
        <v>138</v>
      </c>
      <c r="K43" s="122" t="s">
        <v>138</v>
      </c>
      <c r="L43" s="122" t="s">
        <v>138</v>
      </c>
      <c r="M43" s="122" t="s">
        <v>138</v>
      </c>
      <c r="N43" s="122" t="s">
        <v>138</v>
      </c>
      <c r="O43" s="122" t="s">
        <v>138</v>
      </c>
      <c r="P43" s="122" t="s">
        <v>138</v>
      </c>
      <c r="Q43" s="122" t="s">
        <v>138</v>
      </c>
      <c r="R43" s="110" t="e">
        <f t="shared" si="2"/>
        <v>#VALUE!</v>
      </c>
      <c r="S43" s="110"/>
      <c r="U43" s="13" t="e">
        <f t="shared" si="4"/>
        <v>#VALUE!</v>
      </c>
      <c r="X43" s="14" t="e">
        <f t="shared" si="5"/>
        <v>#VALUE!</v>
      </c>
      <c r="Y43" s="14" t="e">
        <f t="shared" si="6"/>
        <v>#VALUE!</v>
      </c>
    </row>
    <row r="44" spans="1:25" s="61" customFormat="1" ht="148.5" customHeight="1" x14ac:dyDescent="0.25">
      <c r="A44" s="151"/>
      <c r="B44" s="83" t="s">
        <v>337</v>
      </c>
      <c r="C44" s="123" t="s">
        <v>223</v>
      </c>
      <c r="D44" s="152" t="s">
        <v>285</v>
      </c>
      <c r="E44" s="126" t="s">
        <v>138</v>
      </c>
      <c r="F44" s="126">
        <v>44074</v>
      </c>
      <c r="G44" s="122" t="s">
        <v>138</v>
      </c>
      <c r="H44" s="209">
        <v>44074</v>
      </c>
      <c r="I44" s="122" t="s">
        <v>138</v>
      </c>
      <c r="J44" s="122" t="s">
        <v>138</v>
      </c>
      <c r="K44" s="122" t="s">
        <v>138</v>
      </c>
      <c r="L44" s="122" t="s">
        <v>138</v>
      </c>
      <c r="M44" s="122" t="s">
        <v>138</v>
      </c>
      <c r="N44" s="122" t="s">
        <v>138</v>
      </c>
      <c r="O44" s="122" t="s">
        <v>138</v>
      </c>
      <c r="P44" s="122" t="s">
        <v>138</v>
      </c>
      <c r="Q44" s="122" t="s">
        <v>138</v>
      </c>
      <c r="R44" s="110" t="e">
        <f t="shared" si="2"/>
        <v>#VALUE!</v>
      </c>
      <c r="S44" s="110"/>
      <c r="U44" s="61" t="e">
        <f t="shared" si="4"/>
        <v>#VALUE!</v>
      </c>
      <c r="X44" s="14" t="e">
        <f t="shared" si="5"/>
        <v>#VALUE!</v>
      </c>
      <c r="Y44" s="14" t="e">
        <f t="shared" si="6"/>
        <v>#VALUE!</v>
      </c>
    </row>
    <row r="45" spans="1:25" ht="137.25" customHeight="1" x14ac:dyDescent="0.25">
      <c r="A45" s="82" t="s">
        <v>46</v>
      </c>
      <c r="B45" s="83" t="s">
        <v>47</v>
      </c>
      <c r="C45" s="123" t="s">
        <v>223</v>
      </c>
      <c r="D45" s="151" t="s">
        <v>285</v>
      </c>
      <c r="E45" s="126">
        <v>43839</v>
      </c>
      <c r="F45" s="126">
        <v>44196</v>
      </c>
      <c r="G45" s="126">
        <v>43839</v>
      </c>
      <c r="H45" s="126" t="s">
        <v>138</v>
      </c>
      <c r="I45" s="122">
        <v>99.8</v>
      </c>
      <c r="J45" s="122">
        <v>99.8</v>
      </c>
      <c r="K45" s="122">
        <v>79.7</v>
      </c>
      <c r="L45" s="122">
        <f>182.1-J45</f>
        <v>82.3</v>
      </c>
      <c r="M45" s="122">
        <v>143.30000000000001</v>
      </c>
      <c r="N45" s="141">
        <f>328.3-L45-J45</f>
        <v>146.19999999999999</v>
      </c>
      <c r="O45" s="122">
        <v>407.2</v>
      </c>
      <c r="P45" s="122">
        <v>0</v>
      </c>
      <c r="Q45" s="123" t="s">
        <v>138</v>
      </c>
      <c r="R45" s="110">
        <f t="shared" si="2"/>
        <v>730</v>
      </c>
      <c r="S45" s="110"/>
      <c r="T45" s="13">
        <f>391.6-J45</f>
        <v>291.8</v>
      </c>
      <c r="U45" s="13">
        <f t="shared" si="4"/>
        <v>182.1</v>
      </c>
      <c r="V45" s="13">
        <v>516.70000000000005</v>
      </c>
      <c r="X45" s="14">
        <f t="shared" si="5"/>
        <v>334.6</v>
      </c>
      <c r="Y45" s="14">
        <f t="shared" si="6"/>
        <v>188.40000000000003</v>
      </c>
    </row>
    <row r="46" spans="1:25" ht="147" customHeight="1" x14ac:dyDescent="0.25">
      <c r="A46" s="82" t="s">
        <v>48</v>
      </c>
      <c r="B46" s="83" t="s">
        <v>49</v>
      </c>
      <c r="C46" s="123" t="s">
        <v>223</v>
      </c>
      <c r="D46" s="151" t="s">
        <v>285</v>
      </c>
      <c r="E46" s="126">
        <v>43839</v>
      </c>
      <c r="F46" s="126">
        <v>44196</v>
      </c>
      <c r="G46" s="126">
        <v>43839</v>
      </c>
      <c r="H46" s="126" t="s">
        <v>138</v>
      </c>
      <c r="I46" s="122">
        <v>28.2</v>
      </c>
      <c r="J46" s="122">
        <v>28.2</v>
      </c>
      <c r="K46" s="122">
        <v>30.4</v>
      </c>
      <c r="L46" s="122">
        <f>60.9-J46</f>
        <v>32.700000000000003</v>
      </c>
      <c r="M46" s="122">
        <v>75.599999999999994</v>
      </c>
      <c r="N46" s="141">
        <f>138-L46-J46</f>
        <v>77.099999999999994</v>
      </c>
      <c r="O46" s="122">
        <v>135.1</v>
      </c>
      <c r="P46" s="122">
        <v>0</v>
      </c>
      <c r="Q46" s="123" t="s">
        <v>138</v>
      </c>
      <c r="R46" s="110">
        <f t="shared" si="2"/>
        <v>269.29999999999995</v>
      </c>
      <c r="S46" s="110"/>
      <c r="T46" s="13">
        <f>178.3-J46</f>
        <v>150.10000000000002</v>
      </c>
      <c r="U46" s="13">
        <f t="shared" si="4"/>
        <v>60.900000000000006</v>
      </c>
      <c r="V46" s="13">
        <v>210</v>
      </c>
      <c r="X46" s="14">
        <f t="shared" si="5"/>
        <v>149.10000000000002</v>
      </c>
      <c r="Y46" s="14">
        <f t="shared" si="6"/>
        <v>72.000000000000028</v>
      </c>
    </row>
    <row r="47" spans="1:25" ht="126" x14ac:dyDescent="0.25">
      <c r="A47" s="82" t="s">
        <v>50</v>
      </c>
      <c r="B47" s="83" t="s">
        <v>51</v>
      </c>
      <c r="C47" s="123" t="s">
        <v>223</v>
      </c>
      <c r="D47" s="151" t="s">
        <v>285</v>
      </c>
      <c r="E47" s="126">
        <v>43839</v>
      </c>
      <c r="F47" s="126">
        <v>44196</v>
      </c>
      <c r="G47" s="126">
        <v>43839</v>
      </c>
      <c r="H47" s="126" t="s">
        <v>138</v>
      </c>
      <c r="I47" s="122">
        <v>1783.4</v>
      </c>
      <c r="J47" s="123">
        <v>1827.1</v>
      </c>
      <c r="K47" s="122">
        <v>5199.5</v>
      </c>
      <c r="L47" s="122">
        <f>7450.6-J47</f>
        <v>5623.5</v>
      </c>
      <c r="M47" s="122">
        <v>11393.8</v>
      </c>
      <c r="N47" s="141">
        <f>19960.2-L47-J47</f>
        <v>12509.6</v>
      </c>
      <c r="O47" s="122">
        <v>35263.300000000003</v>
      </c>
      <c r="P47" s="122">
        <v>0</v>
      </c>
      <c r="Q47" s="123" t="s">
        <v>138</v>
      </c>
      <c r="R47" s="110">
        <f t="shared" si="2"/>
        <v>53640</v>
      </c>
      <c r="S47" s="110"/>
      <c r="T47" s="13">
        <f>18181.2-J47</f>
        <v>16354.1</v>
      </c>
      <c r="U47" s="13">
        <f t="shared" si="4"/>
        <v>7450.6</v>
      </c>
      <c r="V47" s="63">
        <v>34457.4</v>
      </c>
      <c r="X47" s="14">
        <f t="shared" si="5"/>
        <v>27006.800000000003</v>
      </c>
      <c r="Y47" s="14">
        <f t="shared" si="6"/>
        <v>14497.200000000003</v>
      </c>
    </row>
    <row r="48" spans="1:25" ht="225.75" customHeight="1" x14ac:dyDescent="0.25">
      <c r="A48" s="151"/>
      <c r="B48" s="191" t="s">
        <v>349</v>
      </c>
      <c r="C48" s="123" t="s">
        <v>223</v>
      </c>
      <c r="D48" s="151" t="s">
        <v>285</v>
      </c>
      <c r="E48" s="123" t="s">
        <v>138</v>
      </c>
      <c r="F48" s="126">
        <v>43889</v>
      </c>
      <c r="G48" s="126" t="s">
        <v>138</v>
      </c>
      <c r="H48" s="126">
        <v>43889</v>
      </c>
      <c r="I48" s="122" t="s">
        <v>138</v>
      </c>
      <c r="J48" s="122" t="s">
        <v>138</v>
      </c>
      <c r="K48" s="122" t="s">
        <v>138</v>
      </c>
      <c r="L48" s="122" t="s">
        <v>138</v>
      </c>
      <c r="M48" s="122" t="s">
        <v>138</v>
      </c>
      <c r="N48" s="122" t="s">
        <v>138</v>
      </c>
      <c r="O48" s="122" t="s">
        <v>138</v>
      </c>
      <c r="P48" s="122" t="s">
        <v>138</v>
      </c>
      <c r="Q48" s="122" t="s">
        <v>138</v>
      </c>
      <c r="R48" s="110" t="e">
        <f t="shared" si="2"/>
        <v>#VALUE!</v>
      </c>
      <c r="S48" s="110"/>
      <c r="U48" s="13" t="e">
        <f t="shared" si="4"/>
        <v>#VALUE!</v>
      </c>
      <c r="X48" s="14" t="e">
        <f t="shared" si="5"/>
        <v>#VALUE!</v>
      </c>
      <c r="Y48" s="14" t="e">
        <f t="shared" si="6"/>
        <v>#VALUE!</v>
      </c>
    </row>
    <row r="49" spans="1:25" ht="167.25" customHeight="1" x14ac:dyDescent="0.25">
      <c r="A49" s="82" t="s">
        <v>245</v>
      </c>
      <c r="B49" s="83" t="s">
        <v>250</v>
      </c>
      <c r="C49" s="123" t="s">
        <v>223</v>
      </c>
      <c r="D49" s="151" t="s">
        <v>285</v>
      </c>
      <c r="E49" s="126">
        <v>43839</v>
      </c>
      <c r="F49" s="126">
        <v>44196</v>
      </c>
      <c r="G49" s="126">
        <v>43839</v>
      </c>
      <c r="H49" s="126" t="s">
        <v>138</v>
      </c>
      <c r="I49" s="122">
        <f t="shared" ref="I49:J49" si="9">I50+I51</f>
        <v>0</v>
      </c>
      <c r="J49" s="122">
        <f t="shared" si="9"/>
        <v>0</v>
      </c>
      <c r="K49" s="122">
        <v>560.70000000000005</v>
      </c>
      <c r="L49" s="122">
        <f t="shared" ref="L49:P49" si="10">L50+L51</f>
        <v>560.69999999999993</v>
      </c>
      <c r="M49" s="122">
        <v>1735.8</v>
      </c>
      <c r="N49" s="141">
        <f>2296.6-L49</f>
        <v>1735.9</v>
      </c>
      <c r="O49" s="122">
        <v>1985.6</v>
      </c>
      <c r="P49" s="122">
        <f t="shared" si="10"/>
        <v>0</v>
      </c>
      <c r="Q49" s="123" t="s">
        <v>138</v>
      </c>
      <c r="R49" s="110">
        <f t="shared" si="2"/>
        <v>4282.1000000000004</v>
      </c>
      <c r="S49" s="110"/>
      <c r="U49" s="13">
        <f t="shared" si="4"/>
        <v>560.69999999999993</v>
      </c>
      <c r="V49" s="13">
        <v>0</v>
      </c>
      <c r="X49" s="14">
        <f t="shared" si="5"/>
        <v>-560.69999999999993</v>
      </c>
      <c r="Y49" s="14">
        <f t="shared" si="6"/>
        <v>-2296.6</v>
      </c>
    </row>
    <row r="50" spans="1:25" x14ac:dyDescent="0.25">
      <c r="A50" s="82"/>
      <c r="B50" s="83" t="s">
        <v>228</v>
      </c>
      <c r="C50" s="123"/>
      <c r="D50" s="151"/>
      <c r="E50" s="126"/>
      <c r="F50" s="126"/>
      <c r="G50" s="126"/>
      <c r="H50" s="126"/>
      <c r="I50" s="150">
        <v>0</v>
      </c>
      <c r="J50" s="150"/>
      <c r="K50" s="141">
        <v>22.4</v>
      </c>
      <c r="L50" s="141">
        <v>22.4</v>
      </c>
      <c r="M50" s="141">
        <v>69.400000000000006</v>
      </c>
      <c r="N50" s="150">
        <v>69.400000000000006</v>
      </c>
      <c r="O50" s="150">
        <v>79.400000000000006</v>
      </c>
      <c r="P50" s="150">
        <v>0</v>
      </c>
      <c r="Q50" s="150"/>
      <c r="R50" s="110">
        <f t="shared" si="2"/>
        <v>171.20000000000002</v>
      </c>
      <c r="S50" s="110"/>
      <c r="U50" s="13">
        <f t="shared" si="4"/>
        <v>22.4</v>
      </c>
      <c r="V50" s="13">
        <v>0</v>
      </c>
      <c r="X50" s="14">
        <f t="shared" si="5"/>
        <v>-22.4</v>
      </c>
      <c r="Y50" s="14">
        <f t="shared" si="6"/>
        <v>-91.800000000000011</v>
      </c>
    </row>
    <row r="51" spans="1:25" x14ac:dyDescent="0.25">
      <c r="A51" s="82"/>
      <c r="B51" s="83" t="s">
        <v>226</v>
      </c>
      <c r="C51" s="123"/>
      <c r="D51" s="151"/>
      <c r="E51" s="126"/>
      <c r="F51" s="126"/>
      <c r="G51" s="126"/>
      <c r="H51" s="126"/>
      <c r="I51" s="150">
        <v>0</v>
      </c>
      <c r="J51" s="150"/>
      <c r="K51" s="150">
        <v>538.29999999999995</v>
      </c>
      <c r="L51" s="150">
        <v>538.29999999999995</v>
      </c>
      <c r="M51" s="150">
        <v>1666.4</v>
      </c>
      <c r="N51" s="141">
        <v>1666.5</v>
      </c>
      <c r="O51" s="141">
        <v>1906.2</v>
      </c>
      <c r="P51" s="150">
        <v>0</v>
      </c>
      <c r="Q51" s="150"/>
      <c r="R51" s="110">
        <f t="shared" si="2"/>
        <v>4110.8999999999996</v>
      </c>
      <c r="S51" s="110"/>
      <c r="U51" s="13">
        <f t="shared" si="4"/>
        <v>538.29999999999995</v>
      </c>
      <c r="V51" s="13">
        <v>0</v>
      </c>
      <c r="X51" s="14">
        <f t="shared" si="5"/>
        <v>-538.29999999999995</v>
      </c>
      <c r="Y51" s="14">
        <f t="shared" si="6"/>
        <v>-2204.8000000000002</v>
      </c>
    </row>
    <row r="52" spans="1:25" s="90" customFormat="1" ht="247.5" customHeight="1" x14ac:dyDescent="0.25">
      <c r="A52" s="154" t="s">
        <v>368</v>
      </c>
      <c r="B52" s="153" t="s">
        <v>419</v>
      </c>
      <c r="C52" s="124" t="s">
        <v>223</v>
      </c>
      <c r="D52" s="155" t="s">
        <v>285</v>
      </c>
      <c r="E52" s="156">
        <v>43839</v>
      </c>
      <c r="F52" s="156">
        <v>44196</v>
      </c>
      <c r="G52" s="156">
        <v>43839</v>
      </c>
      <c r="H52" s="156" t="s">
        <v>138</v>
      </c>
      <c r="I52" s="125">
        <f t="shared" ref="I52" si="11">I53+I54</f>
        <v>0</v>
      </c>
      <c r="J52" s="125">
        <f t="shared" ref="J52" si="12">J53+J54</f>
        <v>0</v>
      </c>
      <c r="K52" s="125">
        <f t="shared" ref="K52" si="13">K53+K54</f>
        <v>1988.8</v>
      </c>
      <c r="L52" s="125">
        <f t="shared" ref="L52" si="14">L53+L54</f>
        <v>2385.4</v>
      </c>
      <c r="M52" s="125">
        <v>6002.8</v>
      </c>
      <c r="N52" s="157">
        <f>8265.8-L52</f>
        <v>5880.4</v>
      </c>
      <c r="O52" s="125">
        <v>10586.4</v>
      </c>
      <c r="P52" s="125">
        <f t="shared" ref="P52" si="15">P53+P54</f>
        <v>0</v>
      </c>
      <c r="Q52" s="124" t="s">
        <v>138</v>
      </c>
      <c r="R52" s="110">
        <f t="shared" si="2"/>
        <v>18578</v>
      </c>
      <c r="S52" s="110"/>
      <c r="U52" s="90">
        <f t="shared" si="4"/>
        <v>2385.4</v>
      </c>
      <c r="V52" s="90">
        <f>V53+V54</f>
        <v>8173.9</v>
      </c>
      <c r="X52" s="89">
        <f t="shared" si="5"/>
        <v>5788.5</v>
      </c>
      <c r="Y52" s="89">
        <f t="shared" si="6"/>
        <v>-91.899999999999636</v>
      </c>
    </row>
    <row r="53" spans="1:25" s="90" customFormat="1" x14ac:dyDescent="0.25">
      <c r="A53" s="154"/>
      <c r="B53" s="153" t="s">
        <v>228</v>
      </c>
      <c r="C53" s="124"/>
      <c r="D53" s="155"/>
      <c r="E53" s="156"/>
      <c r="F53" s="156"/>
      <c r="G53" s="156"/>
      <c r="H53" s="156"/>
      <c r="I53" s="157">
        <v>0</v>
      </c>
      <c r="J53" s="157">
        <v>0</v>
      </c>
      <c r="K53" s="157">
        <v>79.599999999999994</v>
      </c>
      <c r="L53" s="157">
        <v>95.4</v>
      </c>
      <c r="M53" s="157">
        <v>240.1</v>
      </c>
      <c r="N53" s="157">
        <v>235.2</v>
      </c>
      <c r="O53" s="157">
        <v>423.5</v>
      </c>
      <c r="P53" s="157">
        <v>0</v>
      </c>
      <c r="Q53" s="158"/>
      <c r="R53" s="110">
        <f t="shared" si="2"/>
        <v>743.2</v>
      </c>
      <c r="S53" s="110"/>
      <c r="U53" s="90">
        <f t="shared" si="4"/>
        <v>95.4</v>
      </c>
      <c r="V53" s="90">
        <v>7765.2</v>
      </c>
      <c r="X53" s="89">
        <f t="shared" si="5"/>
        <v>7669.8</v>
      </c>
      <c r="Y53" s="89">
        <f t="shared" si="6"/>
        <v>7434.6</v>
      </c>
    </row>
    <row r="54" spans="1:25" s="90" customFormat="1" x14ac:dyDescent="0.25">
      <c r="A54" s="154"/>
      <c r="B54" s="153" t="s">
        <v>226</v>
      </c>
      <c r="C54" s="124"/>
      <c r="D54" s="155"/>
      <c r="E54" s="156"/>
      <c r="F54" s="156"/>
      <c r="G54" s="156"/>
      <c r="H54" s="156"/>
      <c r="I54" s="157">
        <v>0</v>
      </c>
      <c r="J54" s="157">
        <v>0</v>
      </c>
      <c r="K54" s="157">
        <v>1909.2</v>
      </c>
      <c r="L54" s="157">
        <v>2290</v>
      </c>
      <c r="M54" s="157">
        <v>5762.7</v>
      </c>
      <c r="N54" s="157">
        <f>N52-N53</f>
        <v>5645.2</v>
      </c>
      <c r="O54" s="157">
        <v>10162.9</v>
      </c>
      <c r="P54" s="157">
        <v>0</v>
      </c>
      <c r="Q54" s="158"/>
      <c r="R54" s="110">
        <f t="shared" si="2"/>
        <v>17834.8</v>
      </c>
      <c r="S54" s="110"/>
      <c r="U54" s="90">
        <f t="shared" si="4"/>
        <v>2290</v>
      </c>
      <c r="V54" s="90">
        <v>408.7</v>
      </c>
      <c r="X54" s="89">
        <f t="shared" si="5"/>
        <v>-1881.3</v>
      </c>
      <c r="Y54" s="89">
        <f t="shared" si="6"/>
        <v>-7526.5</v>
      </c>
    </row>
    <row r="55" spans="1:25" s="90" customFormat="1" ht="226.5" customHeight="1" x14ac:dyDescent="0.25">
      <c r="A55" s="154" t="s">
        <v>369</v>
      </c>
      <c r="B55" s="153" t="s">
        <v>420</v>
      </c>
      <c r="C55" s="124" t="s">
        <v>223</v>
      </c>
      <c r="D55" s="155" t="s">
        <v>421</v>
      </c>
      <c r="E55" s="156">
        <v>43839</v>
      </c>
      <c r="F55" s="156">
        <v>44196</v>
      </c>
      <c r="G55" s="156">
        <v>43839</v>
      </c>
      <c r="H55" s="156" t="s">
        <v>138</v>
      </c>
      <c r="I55" s="157">
        <f t="shared" ref="I55" si="16">I56+I57</f>
        <v>0</v>
      </c>
      <c r="J55" s="157">
        <f t="shared" ref="J55" si="17">J56+J57</f>
        <v>0</v>
      </c>
      <c r="K55" s="157">
        <f t="shared" ref="K55" si="18">K56+K57</f>
        <v>4246.3999999999996</v>
      </c>
      <c r="L55" s="157">
        <f t="shared" ref="L55" si="19">L56+L57</f>
        <v>4593.5</v>
      </c>
      <c r="M55" s="157">
        <v>8307.1</v>
      </c>
      <c r="N55" s="157">
        <f>12849.4-L55</f>
        <v>8255.9</v>
      </c>
      <c r="O55" s="157">
        <v>10488.8</v>
      </c>
      <c r="P55" s="157">
        <f t="shared" ref="P55" si="20">P56+P57</f>
        <v>0</v>
      </c>
      <c r="Q55" s="158"/>
      <c r="R55" s="110">
        <f t="shared" si="2"/>
        <v>23042.3</v>
      </c>
      <c r="S55" s="110"/>
      <c r="X55" s="89"/>
      <c r="Y55" s="89"/>
    </row>
    <row r="56" spans="1:25" s="90" customFormat="1" ht="16.5" customHeight="1" x14ac:dyDescent="0.25">
      <c r="A56" s="154"/>
      <c r="B56" s="153" t="s">
        <v>228</v>
      </c>
      <c r="C56" s="124"/>
      <c r="D56" s="155"/>
      <c r="E56" s="156"/>
      <c r="F56" s="156"/>
      <c r="G56" s="156"/>
      <c r="H56" s="156"/>
      <c r="I56" s="157">
        <v>0</v>
      </c>
      <c r="J56" s="157">
        <v>0</v>
      </c>
      <c r="K56" s="157">
        <v>169.9</v>
      </c>
      <c r="L56" s="157">
        <v>183.7</v>
      </c>
      <c r="M56" s="157">
        <v>332.3</v>
      </c>
      <c r="N56" s="157">
        <v>330.2</v>
      </c>
      <c r="O56" s="157">
        <v>419.6</v>
      </c>
      <c r="P56" s="157">
        <v>0</v>
      </c>
      <c r="Q56" s="158"/>
      <c r="R56" s="110">
        <f t="shared" si="2"/>
        <v>921.80000000000007</v>
      </c>
      <c r="S56" s="110"/>
      <c r="X56" s="89"/>
      <c r="Y56" s="89"/>
    </row>
    <row r="57" spans="1:25" s="90" customFormat="1" ht="15" customHeight="1" x14ac:dyDescent="0.25">
      <c r="A57" s="154"/>
      <c r="B57" s="153" t="s">
        <v>226</v>
      </c>
      <c r="C57" s="124"/>
      <c r="D57" s="155"/>
      <c r="E57" s="156"/>
      <c r="F57" s="156"/>
      <c r="G57" s="156"/>
      <c r="H57" s="156"/>
      <c r="I57" s="157">
        <v>0</v>
      </c>
      <c r="J57" s="157">
        <v>0</v>
      </c>
      <c r="K57" s="157">
        <v>4076.5</v>
      </c>
      <c r="L57" s="157">
        <v>4409.8</v>
      </c>
      <c r="M57" s="157">
        <v>7975.4</v>
      </c>
      <c r="N57" s="157">
        <f>N55-N56</f>
        <v>7925.7</v>
      </c>
      <c r="O57" s="157">
        <v>10069.200000000001</v>
      </c>
      <c r="P57" s="157">
        <v>0</v>
      </c>
      <c r="Q57" s="158"/>
      <c r="R57" s="110">
        <f t="shared" si="2"/>
        <v>22121.1</v>
      </c>
      <c r="S57" s="110"/>
      <c r="X57" s="89"/>
      <c r="Y57" s="89"/>
    </row>
    <row r="58" spans="1:25" s="12" customFormat="1" ht="63" x14ac:dyDescent="0.25">
      <c r="A58" s="82" t="s">
        <v>225</v>
      </c>
      <c r="B58" s="83" t="s">
        <v>315</v>
      </c>
      <c r="C58" s="123" t="s">
        <v>223</v>
      </c>
      <c r="D58" s="83" t="s">
        <v>288</v>
      </c>
      <c r="E58" s="126">
        <v>43839</v>
      </c>
      <c r="F58" s="126">
        <v>44196</v>
      </c>
      <c r="G58" s="126">
        <v>43839</v>
      </c>
      <c r="H58" s="126" t="s">
        <v>138</v>
      </c>
      <c r="I58" s="141">
        <v>293768.59999999998</v>
      </c>
      <c r="J58" s="141">
        <v>301556.40000000002</v>
      </c>
      <c r="K58" s="141">
        <v>856274.8</v>
      </c>
      <c r="L58" s="141">
        <f>1306040.5-J58</f>
        <v>1004484.1</v>
      </c>
      <c r="M58" s="141">
        <v>3191596</v>
      </c>
      <c r="N58" s="141">
        <f>4500586.6-L58-J58</f>
        <v>3194546.0999999996</v>
      </c>
      <c r="O58" s="141">
        <v>765869.1</v>
      </c>
      <c r="P58" s="141">
        <v>0</v>
      </c>
      <c r="Q58" s="150" t="s">
        <v>138</v>
      </c>
      <c r="R58" s="110">
        <f t="shared" si="2"/>
        <v>5107508.5</v>
      </c>
      <c r="S58" s="110"/>
      <c r="T58" s="58">
        <f>554229.7-J58</f>
        <v>252673.29999999993</v>
      </c>
      <c r="U58" s="13">
        <f t="shared" ref="U58:U72" si="21">J58+L58</f>
        <v>1306040.5</v>
      </c>
      <c r="V58" s="12">
        <v>862068.3</v>
      </c>
      <c r="X58" s="14">
        <f t="shared" ref="X58:X89" si="22">V58-J58-L58</f>
        <v>-443972.19999999995</v>
      </c>
      <c r="Y58" s="14">
        <f t="shared" ref="Y58:Y89" si="23">X58-N58</f>
        <v>-3638518.3</v>
      </c>
    </row>
    <row r="59" spans="1:25" x14ac:dyDescent="0.25">
      <c r="A59" s="82"/>
      <c r="B59" s="83" t="s">
        <v>226</v>
      </c>
      <c r="C59" s="123"/>
      <c r="D59" s="159"/>
      <c r="E59" s="126"/>
      <c r="F59" s="126"/>
      <c r="G59" s="126"/>
      <c r="H59" s="126"/>
      <c r="I59" s="141">
        <f>I58</f>
        <v>293768.59999999998</v>
      </c>
      <c r="J59" s="141">
        <f t="shared" ref="J59:P59" si="24">J58</f>
        <v>301556.40000000002</v>
      </c>
      <c r="K59" s="141">
        <f t="shared" si="24"/>
        <v>856274.8</v>
      </c>
      <c r="L59" s="141">
        <f t="shared" si="24"/>
        <v>1004484.1</v>
      </c>
      <c r="M59" s="141">
        <f t="shared" si="24"/>
        <v>3191596</v>
      </c>
      <c r="N59" s="141">
        <f t="shared" si="24"/>
        <v>3194546.0999999996</v>
      </c>
      <c r="O59" s="141">
        <f t="shared" si="24"/>
        <v>765869.1</v>
      </c>
      <c r="P59" s="141">
        <f t="shared" si="24"/>
        <v>0</v>
      </c>
      <c r="Q59" s="150" t="s">
        <v>138</v>
      </c>
      <c r="R59" s="110">
        <f t="shared" si="2"/>
        <v>5107508.5</v>
      </c>
      <c r="S59" s="110"/>
      <c r="U59" s="13">
        <f t="shared" si="21"/>
        <v>1306040.5</v>
      </c>
      <c r="V59" s="13">
        <f>V58</f>
        <v>862068.3</v>
      </c>
      <c r="X59" s="14">
        <f t="shared" si="22"/>
        <v>-443972.19999999995</v>
      </c>
      <c r="Y59" s="14">
        <f t="shared" si="23"/>
        <v>-3638518.3</v>
      </c>
    </row>
    <row r="60" spans="1:25" ht="142.5" customHeight="1" x14ac:dyDescent="0.25">
      <c r="A60" s="82" t="s">
        <v>85</v>
      </c>
      <c r="B60" s="83" t="s">
        <v>86</v>
      </c>
      <c r="C60" s="123" t="s">
        <v>223</v>
      </c>
      <c r="D60" s="151" t="s">
        <v>285</v>
      </c>
      <c r="E60" s="126">
        <v>43839</v>
      </c>
      <c r="F60" s="126">
        <v>44196</v>
      </c>
      <c r="G60" s="126">
        <v>43839</v>
      </c>
      <c r="H60" s="126" t="s">
        <v>138</v>
      </c>
      <c r="I60" s="122" t="s">
        <v>138</v>
      </c>
      <c r="J60" s="122" t="s">
        <v>138</v>
      </c>
      <c r="K60" s="122" t="s">
        <v>138</v>
      </c>
      <c r="L60" s="122" t="s">
        <v>138</v>
      </c>
      <c r="M60" s="122" t="s">
        <v>138</v>
      </c>
      <c r="N60" s="122" t="s">
        <v>138</v>
      </c>
      <c r="O60" s="122" t="s">
        <v>138</v>
      </c>
      <c r="P60" s="122" t="s">
        <v>138</v>
      </c>
      <c r="Q60" s="122" t="s">
        <v>138</v>
      </c>
      <c r="R60" s="110" t="e">
        <f t="shared" si="2"/>
        <v>#VALUE!</v>
      </c>
      <c r="S60" s="110"/>
      <c r="U60" s="13" t="e">
        <f t="shared" si="21"/>
        <v>#VALUE!</v>
      </c>
      <c r="X60" s="14" t="e">
        <f t="shared" si="22"/>
        <v>#VALUE!</v>
      </c>
      <c r="Y60" s="14" t="e">
        <f t="shared" si="23"/>
        <v>#VALUE!</v>
      </c>
    </row>
    <row r="61" spans="1:25" s="62" customFormat="1" ht="253.5" hidden="1" customHeight="1" x14ac:dyDescent="0.25">
      <c r="A61" s="151"/>
      <c r="B61" s="83" t="s">
        <v>338</v>
      </c>
      <c r="C61" s="123" t="s">
        <v>223</v>
      </c>
      <c r="D61" s="151" t="s">
        <v>285</v>
      </c>
      <c r="E61" s="122" t="s">
        <v>138</v>
      </c>
      <c r="F61" s="126">
        <v>43982</v>
      </c>
      <c r="G61" s="122" t="s">
        <v>138</v>
      </c>
      <c r="H61" s="126" t="s">
        <v>138</v>
      </c>
      <c r="I61" s="122" t="s">
        <v>138</v>
      </c>
      <c r="J61" s="122" t="s">
        <v>138</v>
      </c>
      <c r="K61" s="122" t="s">
        <v>138</v>
      </c>
      <c r="L61" s="122" t="s">
        <v>138</v>
      </c>
      <c r="M61" s="122" t="s">
        <v>138</v>
      </c>
      <c r="N61" s="122" t="s">
        <v>138</v>
      </c>
      <c r="O61" s="122" t="s">
        <v>138</v>
      </c>
      <c r="P61" s="122" t="s">
        <v>138</v>
      </c>
      <c r="Q61" s="160" t="s">
        <v>138</v>
      </c>
      <c r="R61" s="110" t="e">
        <f t="shared" si="2"/>
        <v>#VALUE!</v>
      </c>
      <c r="S61" s="110"/>
      <c r="U61" s="62" t="e">
        <f t="shared" si="21"/>
        <v>#VALUE!</v>
      </c>
      <c r="X61" s="14" t="e">
        <f t="shared" si="22"/>
        <v>#VALUE!</v>
      </c>
      <c r="Y61" s="14" t="e">
        <f t="shared" si="23"/>
        <v>#VALUE!</v>
      </c>
    </row>
    <row r="62" spans="1:25" ht="127.5" customHeight="1" x14ac:dyDescent="0.25">
      <c r="A62" s="82" t="s">
        <v>87</v>
      </c>
      <c r="B62" s="83" t="s">
        <v>88</v>
      </c>
      <c r="C62" s="123" t="s">
        <v>223</v>
      </c>
      <c r="D62" s="83" t="s">
        <v>412</v>
      </c>
      <c r="E62" s="126">
        <v>43839</v>
      </c>
      <c r="F62" s="126">
        <v>44196</v>
      </c>
      <c r="G62" s="126">
        <v>43839</v>
      </c>
      <c r="H62" s="209">
        <v>44012</v>
      </c>
      <c r="I62" s="122" t="s">
        <v>138</v>
      </c>
      <c r="J62" s="122" t="s">
        <v>138</v>
      </c>
      <c r="K62" s="122" t="s">
        <v>138</v>
      </c>
      <c r="L62" s="122" t="s">
        <v>138</v>
      </c>
      <c r="M62" s="122" t="s">
        <v>138</v>
      </c>
      <c r="N62" s="122" t="s">
        <v>138</v>
      </c>
      <c r="O62" s="122" t="s">
        <v>138</v>
      </c>
      <c r="P62" s="122" t="s">
        <v>138</v>
      </c>
      <c r="Q62" s="122" t="s">
        <v>138</v>
      </c>
      <c r="R62" s="110" t="e">
        <f t="shared" si="2"/>
        <v>#VALUE!</v>
      </c>
      <c r="S62" s="110"/>
      <c r="U62" s="13" t="e">
        <f t="shared" si="21"/>
        <v>#VALUE!</v>
      </c>
      <c r="X62" s="14" t="e">
        <f t="shared" si="22"/>
        <v>#VALUE!</v>
      </c>
      <c r="Y62" s="14" t="e">
        <f t="shared" si="23"/>
        <v>#VALUE!</v>
      </c>
    </row>
    <row r="63" spans="1:25" ht="115.5" customHeight="1" x14ac:dyDescent="0.25">
      <c r="A63" s="82"/>
      <c r="B63" s="83" t="s">
        <v>339</v>
      </c>
      <c r="C63" s="123" t="s">
        <v>223</v>
      </c>
      <c r="D63" s="83" t="s">
        <v>412</v>
      </c>
      <c r="E63" s="126" t="s">
        <v>138</v>
      </c>
      <c r="F63" s="126">
        <v>43982</v>
      </c>
      <c r="G63" s="126" t="s">
        <v>138</v>
      </c>
      <c r="H63" s="209">
        <v>43982</v>
      </c>
      <c r="I63" s="122" t="s">
        <v>138</v>
      </c>
      <c r="J63" s="122" t="s">
        <v>138</v>
      </c>
      <c r="K63" s="122" t="s">
        <v>138</v>
      </c>
      <c r="L63" s="122" t="s">
        <v>138</v>
      </c>
      <c r="M63" s="122" t="s">
        <v>138</v>
      </c>
      <c r="N63" s="122" t="s">
        <v>138</v>
      </c>
      <c r="O63" s="122" t="s">
        <v>138</v>
      </c>
      <c r="P63" s="122" t="s">
        <v>138</v>
      </c>
      <c r="Q63" s="122" t="s">
        <v>138</v>
      </c>
      <c r="R63" s="110" t="e">
        <f t="shared" si="2"/>
        <v>#VALUE!</v>
      </c>
      <c r="S63" s="110"/>
      <c r="U63" s="13" t="e">
        <f t="shared" si="21"/>
        <v>#VALUE!</v>
      </c>
      <c r="X63" s="14" t="e">
        <f t="shared" si="22"/>
        <v>#VALUE!</v>
      </c>
      <c r="Y63" s="14" t="e">
        <f t="shared" si="23"/>
        <v>#VALUE!</v>
      </c>
    </row>
    <row r="64" spans="1:25" ht="161.25" customHeight="1" x14ac:dyDescent="0.25">
      <c r="A64" s="82"/>
      <c r="B64" s="83" t="s">
        <v>340</v>
      </c>
      <c r="C64" s="123" t="s">
        <v>223</v>
      </c>
      <c r="D64" s="83" t="s">
        <v>412</v>
      </c>
      <c r="E64" s="126" t="s">
        <v>138</v>
      </c>
      <c r="F64" s="126">
        <v>43889</v>
      </c>
      <c r="G64" s="126" t="s">
        <v>138</v>
      </c>
      <c r="H64" s="126">
        <v>43888</v>
      </c>
      <c r="I64" s="122" t="s">
        <v>138</v>
      </c>
      <c r="J64" s="122" t="s">
        <v>138</v>
      </c>
      <c r="K64" s="122" t="s">
        <v>138</v>
      </c>
      <c r="L64" s="122" t="s">
        <v>138</v>
      </c>
      <c r="M64" s="122" t="s">
        <v>138</v>
      </c>
      <c r="N64" s="122" t="s">
        <v>138</v>
      </c>
      <c r="O64" s="122" t="s">
        <v>138</v>
      </c>
      <c r="P64" s="122" t="s">
        <v>138</v>
      </c>
      <c r="Q64" s="122" t="s">
        <v>138</v>
      </c>
      <c r="R64" s="110" t="e">
        <f t="shared" si="2"/>
        <v>#VALUE!</v>
      </c>
      <c r="S64" s="110"/>
      <c r="U64" s="13" t="e">
        <f t="shared" si="21"/>
        <v>#VALUE!</v>
      </c>
      <c r="X64" s="14" t="e">
        <f t="shared" si="22"/>
        <v>#VALUE!</v>
      </c>
      <c r="Y64" s="14" t="e">
        <f t="shared" si="23"/>
        <v>#VALUE!</v>
      </c>
    </row>
    <row r="65" spans="1:25" ht="127.5" customHeight="1" x14ac:dyDescent="0.25">
      <c r="A65" s="82" t="s">
        <v>89</v>
      </c>
      <c r="B65" s="83" t="s">
        <v>90</v>
      </c>
      <c r="C65" s="123" t="s">
        <v>223</v>
      </c>
      <c r="D65" s="83" t="s">
        <v>412</v>
      </c>
      <c r="E65" s="126">
        <v>43839</v>
      </c>
      <c r="F65" s="126">
        <v>44196</v>
      </c>
      <c r="G65" s="126">
        <v>43839</v>
      </c>
      <c r="H65" s="209">
        <v>44104</v>
      </c>
      <c r="I65" s="122" t="s">
        <v>138</v>
      </c>
      <c r="J65" s="122" t="s">
        <v>138</v>
      </c>
      <c r="K65" s="122" t="s">
        <v>138</v>
      </c>
      <c r="L65" s="122" t="s">
        <v>138</v>
      </c>
      <c r="M65" s="122" t="s">
        <v>138</v>
      </c>
      <c r="N65" s="122" t="s">
        <v>138</v>
      </c>
      <c r="O65" s="122" t="s">
        <v>138</v>
      </c>
      <c r="P65" s="122" t="s">
        <v>138</v>
      </c>
      <c r="Q65" s="122" t="s">
        <v>138</v>
      </c>
      <c r="R65" s="110" t="e">
        <f t="shared" si="2"/>
        <v>#VALUE!</v>
      </c>
      <c r="S65" s="110"/>
      <c r="U65" s="13" t="e">
        <f t="shared" si="21"/>
        <v>#VALUE!</v>
      </c>
      <c r="X65" s="14" t="e">
        <f t="shared" si="22"/>
        <v>#VALUE!</v>
      </c>
      <c r="Y65" s="14" t="e">
        <f t="shared" si="23"/>
        <v>#VALUE!</v>
      </c>
    </row>
    <row r="66" spans="1:25" s="63" customFormat="1" ht="164.25" customHeight="1" x14ac:dyDescent="0.25">
      <c r="A66" s="82"/>
      <c r="B66" s="83" t="s">
        <v>341</v>
      </c>
      <c r="C66" s="123" t="s">
        <v>223</v>
      </c>
      <c r="D66" s="152" t="s">
        <v>412</v>
      </c>
      <c r="E66" s="126" t="s">
        <v>138</v>
      </c>
      <c r="F66" s="126">
        <v>44074</v>
      </c>
      <c r="G66" s="126" t="s">
        <v>138</v>
      </c>
      <c r="H66" s="209">
        <v>44074</v>
      </c>
      <c r="I66" s="122" t="s">
        <v>138</v>
      </c>
      <c r="J66" s="122" t="s">
        <v>138</v>
      </c>
      <c r="K66" s="122" t="s">
        <v>138</v>
      </c>
      <c r="L66" s="122" t="s">
        <v>138</v>
      </c>
      <c r="M66" s="122" t="s">
        <v>138</v>
      </c>
      <c r="N66" s="122" t="s">
        <v>138</v>
      </c>
      <c r="O66" s="122" t="s">
        <v>138</v>
      </c>
      <c r="P66" s="122" t="s">
        <v>138</v>
      </c>
      <c r="Q66" s="122" t="s">
        <v>138</v>
      </c>
      <c r="R66" s="110" t="e">
        <f t="shared" si="2"/>
        <v>#VALUE!</v>
      </c>
      <c r="S66" s="110"/>
      <c r="U66" s="63" t="e">
        <f t="shared" si="21"/>
        <v>#VALUE!</v>
      </c>
      <c r="X66" s="14" t="e">
        <f t="shared" si="22"/>
        <v>#VALUE!</v>
      </c>
      <c r="Y66" s="14" t="e">
        <f t="shared" si="23"/>
        <v>#VALUE!</v>
      </c>
    </row>
    <row r="67" spans="1:25" ht="123.75" customHeight="1" x14ac:dyDescent="0.25">
      <c r="A67" s="82" t="s">
        <v>350</v>
      </c>
      <c r="B67" s="83" t="s">
        <v>61</v>
      </c>
      <c r="C67" s="123" t="s">
        <v>223</v>
      </c>
      <c r="D67" s="83" t="s">
        <v>288</v>
      </c>
      <c r="E67" s="126">
        <v>43839</v>
      </c>
      <c r="F67" s="126">
        <v>44196</v>
      </c>
      <c r="G67" s="126">
        <v>43839</v>
      </c>
      <c r="H67" s="126" t="s">
        <v>138</v>
      </c>
      <c r="I67" s="141">
        <v>114337</v>
      </c>
      <c r="J67" s="141">
        <v>116370.2</v>
      </c>
      <c r="K67" s="141">
        <v>156455.79999999999</v>
      </c>
      <c r="L67" s="141">
        <f>274638.3-J67</f>
        <v>158268.09999999998</v>
      </c>
      <c r="M67" s="141">
        <v>178728.8</v>
      </c>
      <c r="N67" s="141">
        <f>452153.5-L67-J67</f>
        <v>177515.2</v>
      </c>
      <c r="O67" s="141">
        <v>242908.3</v>
      </c>
      <c r="P67" s="141">
        <v>0</v>
      </c>
      <c r="Q67" s="150" t="s">
        <v>138</v>
      </c>
      <c r="R67" s="110">
        <f t="shared" si="2"/>
        <v>692429.89999999991</v>
      </c>
      <c r="S67" s="110"/>
      <c r="U67" s="13">
        <f t="shared" si="21"/>
        <v>274638.3</v>
      </c>
      <c r="V67" s="13">
        <v>425040.9</v>
      </c>
      <c r="W67" s="14">
        <f>V67-I67-M67-O67-K67</f>
        <v>-267388.99999999994</v>
      </c>
      <c r="X67" s="14">
        <f t="shared" si="22"/>
        <v>150402.60000000003</v>
      </c>
      <c r="Y67" s="14">
        <f t="shared" si="23"/>
        <v>-27112.599999999977</v>
      </c>
    </row>
    <row r="68" spans="1:25" ht="198.75" customHeight="1" x14ac:dyDescent="0.25">
      <c r="A68" s="82" t="s">
        <v>139</v>
      </c>
      <c r="B68" s="83" t="s">
        <v>316</v>
      </c>
      <c r="C68" s="123" t="s">
        <v>223</v>
      </c>
      <c r="D68" s="83" t="s">
        <v>422</v>
      </c>
      <c r="E68" s="126">
        <v>44119</v>
      </c>
      <c r="F68" s="126">
        <v>44196</v>
      </c>
      <c r="G68" s="126" t="s">
        <v>138</v>
      </c>
      <c r="H68" s="126" t="s">
        <v>138</v>
      </c>
      <c r="I68" s="141" t="s">
        <v>138</v>
      </c>
      <c r="J68" s="150" t="s">
        <v>138</v>
      </c>
      <c r="K68" s="141" t="s">
        <v>138</v>
      </c>
      <c r="L68" s="141" t="s">
        <v>138</v>
      </c>
      <c r="M68" s="141" t="s">
        <v>138</v>
      </c>
      <c r="N68" s="150" t="s">
        <v>138</v>
      </c>
      <c r="O68" s="141" t="s">
        <v>138</v>
      </c>
      <c r="P68" s="141" t="s">
        <v>138</v>
      </c>
      <c r="Q68" s="150" t="s">
        <v>138</v>
      </c>
      <c r="R68" s="110" t="e">
        <f t="shared" si="2"/>
        <v>#VALUE!</v>
      </c>
      <c r="S68" s="110"/>
      <c r="U68" s="13" t="e">
        <f t="shared" si="21"/>
        <v>#VALUE!</v>
      </c>
      <c r="X68" s="14" t="e">
        <f t="shared" si="22"/>
        <v>#VALUE!</v>
      </c>
      <c r="Y68" s="14" t="e">
        <f t="shared" si="23"/>
        <v>#VALUE!</v>
      </c>
    </row>
    <row r="69" spans="1:25" ht="135.75" customHeight="1" x14ac:dyDescent="0.25">
      <c r="A69" s="82" t="s">
        <v>78</v>
      </c>
      <c r="B69" s="83" t="s">
        <v>317</v>
      </c>
      <c r="C69" s="123" t="s">
        <v>223</v>
      </c>
      <c r="D69" s="83" t="s">
        <v>289</v>
      </c>
      <c r="E69" s="126">
        <v>43474</v>
      </c>
      <c r="F69" s="126">
        <v>43830</v>
      </c>
      <c r="G69" s="126">
        <v>43474</v>
      </c>
      <c r="H69" s="126" t="s">
        <v>138</v>
      </c>
      <c r="I69" s="141" t="s">
        <v>138</v>
      </c>
      <c r="J69" s="150" t="s">
        <v>138</v>
      </c>
      <c r="K69" s="141" t="s">
        <v>138</v>
      </c>
      <c r="L69" s="141" t="s">
        <v>138</v>
      </c>
      <c r="M69" s="141" t="s">
        <v>138</v>
      </c>
      <c r="N69" s="150" t="s">
        <v>138</v>
      </c>
      <c r="O69" s="141" t="s">
        <v>138</v>
      </c>
      <c r="P69" s="141" t="s">
        <v>138</v>
      </c>
      <c r="Q69" s="150" t="s">
        <v>138</v>
      </c>
      <c r="R69" s="110" t="e">
        <f t="shared" si="2"/>
        <v>#VALUE!</v>
      </c>
      <c r="S69" s="110"/>
      <c r="U69" s="13" t="e">
        <f t="shared" si="21"/>
        <v>#VALUE!</v>
      </c>
      <c r="X69" s="14" t="e">
        <f t="shared" si="22"/>
        <v>#VALUE!</v>
      </c>
      <c r="Y69" s="14" t="e">
        <f t="shared" si="23"/>
        <v>#VALUE!</v>
      </c>
    </row>
    <row r="70" spans="1:25" ht="144" customHeight="1" x14ac:dyDescent="0.25">
      <c r="A70" s="82" t="s">
        <v>80</v>
      </c>
      <c r="B70" s="83" t="s">
        <v>318</v>
      </c>
      <c r="C70" s="123" t="s">
        <v>223</v>
      </c>
      <c r="D70" s="83" t="s">
        <v>289</v>
      </c>
      <c r="E70" s="126">
        <v>43839</v>
      </c>
      <c r="F70" s="126">
        <v>44196</v>
      </c>
      <c r="G70" s="126">
        <v>43839</v>
      </c>
      <c r="H70" s="126" t="s">
        <v>138</v>
      </c>
      <c r="I70" s="141" t="s">
        <v>138</v>
      </c>
      <c r="J70" s="150" t="s">
        <v>138</v>
      </c>
      <c r="K70" s="141" t="s">
        <v>138</v>
      </c>
      <c r="L70" s="141" t="s">
        <v>138</v>
      </c>
      <c r="M70" s="141" t="s">
        <v>138</v>
      </c>
      <c r="N70" s="150" t="s">
        <v>138</v>
      </c>
      <c r="O70" s="141" t="s">
        <v>138</v>
      </c>
      <c r="P70" s="141" t="s">
        <v>138</v>
      </c>
      <c r="Q70" s="150" t="s">
        <v>138</v>
      </c>
      <c r="R70" s="110" t="e">
        <f t="shared" si="2"/>
        <v>#VALUE!</v>
      </c>
      <c r="S70" s="110"/>
      <c r="U70" s="13" t="e">
        <f t="shared" si="21"/>
        <v>#VALUE!</v>
      </c>
      <c r="X70" s="14" t="e">
        <f t="shared" si="22"/>
        <v>#VALUE!</v>
      </c>
      <c r="Y70" s="14" t="e">
        <f t="shared" si="23"/>
        <v>#VALUE!</v>
      </c>
    </row>
    <row r="71" spans="1:25" ht="160.5" customHeight="1" x14ac:dyDescent="0.25">
      <c r="A71" s="82"/>
      <c r="B71" s="83" t="s">
        <v>342</v>
      </c>
      <c r="C71" s="123" t="s">
        <v>223</v>
      </c>
      <c r="D71" s="83" t="s">
        <v>289</v>
      </c>
      <c r="E71" s="126" t="s">
        <v>138</v>
      </c>
      <c r="F71" s="126">
        <v>43889</v>
      </c>
      <c r="G71" s="126" t="s">
        <v>138</v>
      </c>
      <c r="H71" s="126">
        <v>43895</v>
      </c>
      <c r="I71" s="141" t="s">
        <v>138</v>
      </c>
      <c r="J71" s="150" t="s">
        <v>138</v>
      </c>
      <c r="K71" s="141" t="s">
        <v>138</v>
      </c>
      <c r="L71" s="141" t="s">
        <v>138</v>
      </c>
      <c r="M71" s="141" t="s">
        <v>138</v>
      </c>
      <c r="N71" s="150" t="s">
        <v>138</v>
      </c>
      <c r="O71" s="141" t="s">
        <v>138</v>
      </c>
      <c r="P71" s="141" t="s">
        <v>138</v>
      </c>
      <c r="Q71" s="150" t="s">
        <v>398</v>
      </c>
      <c r="R71" s="110" t="e">
        <f t="shared" si="2"/>
        <v>#VALUE!</v>
      </c>
      <c r="S71" s="110"/>
      <c r="U71" s="13" t="e">
        <f t="shared" si="21"/>
        <v>#VALUE!</v>
      </c>
      <c r="X71" s="14" t="e">
        <f t="shared" si="22"/>
        <v>#VALUE!</v>
      </c>
      <c r="Y71" s="14" t="e">
        <f t="shared" si="23"/>
        <v>#VALUE!</v>
      </c>
    </row>
    <row r="72" spans="1:25" ht="303.75" customHeight="1" x14ac:dyDescent="0.25">
      <c r="A72" s="82" t="s">
        <v>234</v>
      </c>
      <c r="B72" s="83" t="s">
        <v>319</v>
      </c>
      <c r="C72" s="123" t="s">
        <v>223</v>
      </c>
      <c r="D72" s="83" t="s">
        <v>289</v>
      </c>
      <c r="E72" s="126">
        <v>43839</v>
      </c>
      <c r="F72" s="126">
        <v>44196</v>
      </c>
      <c r="G72" s="126">
        <v>43839</v>
      </c>
      <c r="H72" s="126" t="s">
        <v>138</v>
      </c>
      <c r="I72" s="141">
        <v>0</v>
      </c>
      <c r="J72" s="141">
        <v>0</v>
      </c>
      <c r="K72" s="141">
        <v>0</v>
      </c>
      <c r="L72" s="141">
        <v>0</v>
      </c>
      <c r="M72" s="141">
        <v>167.4</v>
      </c>
      <c r="N72" s="141">
        <v>167.4</v>
      </c>
      <c r="O72" s="141">
        <v>1577.2</v>
      </c>
      <c r="P72" s="141">
        <v>0</v>
      </c>
      <c r="Q72" s="150" t="s">
        <v>138</v>
      </c>
      <c r="R72" s="110">
        <f t="shared" si="2"/>
        <v>1744.6000000000001</v>
      </c>
      <c r="S72" s="110"/>
      <c r="U72" s="13">
        <f t="shared" si="21"/>
        <v>0</v>
      </c>
      <c r="V72" s="13">
        <v>488.5</v>
      </c>
      <c r="X72" s="14">
        <f t="shared" si="22"/>
        <v>488.5</v>
      </c>
      <c r="Y72" s="14">
        <f t="shared" si="23"/>
        <v>321.10000000000002</v>
      </c>
    </row>
    <row r="73" spans="1:25" ht="15.75" customHeight="1" x14ac:dyDescent="0.25">
      <c r="A73" s="248" t="s">
        <v>227</v>
      </c>
      <c r="B73" s="248"/>
      <c r="C73" s="248"/>
      <c r="D73" s="248"/>
      <c r="E73" s="248"/>
      <c r="F73" s="248"/>
      <c r="G73" s="248"/>
      <c r="H73" s="248"/>
      <c r="I73" s="141">
        <f>I74+I75</f>
        <v>415536.6</v>
      </c>
      <c r="J73" s="141">
        <f t="shared" ref="J73:P73" si="25">J74+J75</f>
        <v>426090.80000000005</v>
      </c>
      <c r="K73" s="141">
        <f t="shared" si="25"/>
        <v>1033243.7000000001</v>
      </c>
      <c r="L73" s="141">
        <f t="shared" si="25"/>
        <v>1184737.4000000001</v>
      </c>
      <c r="M73" s="141">
        <f t="shared" si="25"/>
        <v>3437174.7</v>
      </c>
      <c r="N73" s="141">
        <f t="shared" si="25"/>
        <v>3440599.3</v>
      </c>
      <c r="O73" s="141">
        <f t="shared" si="25"/>
        <v>1249841</v>
      </c>
      <c r="P73" s="141">
        <f t="shared" si="25"/>
        <v>0</v>
      </c>
      <c r="Q73" s="150"/>
      <c r="R73" s="110">
        <f t="shared" si="2"/>
        <v>6135796</v>
      </c>
      <c r="S73" s="110"/>
      <c r="U73" s="14">
        <f>J73+L73+N73</f>
        <v>5051427.5</v>
      </c>
      <c r="X73" s="14">
        <f t="shared" si="22"/>
        <v>-1610828.2000000002</v>
      </c>
      <c r="Y73" s="14">
        <f t="shared" si="23"/>
        <v>-5051427.5</v>
      </c>
    </row>
    <row r="74" spans="1:25" ht="15.75" customHeight="1" x14ac:dyDescent="0.25">
      <c r="A74" s="248" t="s">
        <v>228</v>
      </c>
      <c r="B74" s="248"/>
      <c r="C74" s="248"/>
      <c r="D74" s="248"/>
      <c r="E74" s="248"/>
      <c r="F74" s="248"/>
      <c r="G74" s="248"/>
      <c r="H74" s="248"/>
      <c r="I74" s="141">
        <f t="shared" ref="I74:N74" si="26">I12+I18+I19+I27+I30+I33+I42+I45+I46+I67+I72+I47+I37+I50+I53+I56</f>
        <v>121768</v>
      </c>
      <c r="J74" s="141">
        <f t="shared" si="26"/>
        <v>124534.40000000001</v>
      </c>
      <c r="K74" s="141">
        <f t="shared" si="26"/>
        <v>170444.9</v>
      </c>
      <c r="L74" s="141">
        <f t="shared" si="26"/>
        <v>173015.19999999998</v>
      </c>
      <c r="M74" s="141">
        <f t="shared" si="26"/>
        <v>227497.49999999997</v>
      </c>
      <c r="N74" s="141">
        <f t="shared" si="26"/>
        <v>227785.80000000002</v>
      </c>
      <c r="O74" s="141">
        <f>O12+O18+O19+O27+O30+O33+O42+O45+O46+O67+O72+O47+O37+O50+O53+O56+O40</f>
        <v>329457.19999999995</v>
      </c>
      <c r="P74" s="141">
        <f>P12+P18+P19+P27+P30+P33+P42+P45+P46+P67+P72+P47+P37+P50+P53+P56</f>
        <v>0</v>
      </c>
      <c r="Q74" s="150"/>
      <c r="R74" s="110">
        <f t="shared" si="2"/>
        <v>849167.6</v>
      </c>
      <c r="S74" s="110"/>
      <c r="U74" s="14">
        <f>J74+L74+N74</f>
        <v>525335.4</v>
      </c>
      <c r="X74" s="14">
        <f t="shared" si="22"/>
        <v>-297549.59999999998</v>
      </c>
      <c r="Y74" s="14">
        <f t="shared" si="23"/>
        <v>-525335.4</v>
      </c>
    </row>
    <row r="75" spans="1:25" ht="15.75" customHeight="1" x14ac:dyDescent="0.25">
      <c r="A75" s="248" t="s">
        <v>226</v>
      </c>
      <c r="B75" s="248"/>
      <c r="C75" s="248"/>
      <c r="D75" s="248"/>
      <c r="E75" s="248"/>
      <c r="F75" s="248"/>
      <c r="G75" s="248"/>
      <c r="H75" s="248"/>
      <c r="I75" s="141">
        <f t="shared" ref="I75:N75" si="27">I59+I54+I51+I38+I57</f>
        <v>293768.59999999998</v>
      </c>
      <c r="J75" s="141">
        <f t="shared" si="27"/>
        <v>301556.40000000002</v>
      </c>
      <c r="K75" s="141">
        <f t="shared" si="27"/>
        <v>862798.8</v>
      </c>
      <c r="L75" s="141">
        <f t="shared" si="27"/>
        <v>1011722.2000000001</v>
      </c>
      <c r="M75" s="141">
        <f t="shared" si="27"/>
        <v>3209677.2</v>
      </c>
      <c r="N75" s="141">
        <f t="shared" si="27"/>
        <v>3212813.5</v>
      </c>
      <c r="O75" s="141">
        <f>O59+O54+O51+O38+O57+O41</f>
        <v>920383.79999999993</v>
      </c>
      <c r="P75" s="141">
        <f>P59+P54+P51+P38+P57</f>
        <v>0</v>
      </c>
      <c r="Q75" s="150"/>
      <c r="R75" s="110">
        <f t="shared" si="2"/>
        <v>5286628.3999999994</v>
      </c>
      <c r="S75" s="110"/>
      <c r="U75" s="14">
        <f>J75+L75+N75</f>
        <v>4526092.0999999996</v>
      </c>
      <c r="X75" s="14">
        <f t="shared" si="22"/>
        <v>-1313278.6000000001</v>
      </c>
      <c r="Y75" s="14">
        <f t="shared" si="23"/>
        <v>-4526092.0999999996</v>
      </c>
    </row>
    <row r="76" spans="1:25" s="18" customFormat="1" ht="31.15" customHeight="1" x14ac:dyDescent="0.25">
      <c r="A76" s="146"/>
      <c r="B76" s="147" t="s">
        <v>110</v>
      </c>
      <c r="C76" s="148"/>
      <c r="D76" s="148"/>
      <c r="E76" s="149"/>
      <c r="F76" s="149"/>
      <c r="G76" s="149"/>
      <c r="H76" s="149"/>
      <c r="I76" s="150"/>
      <c r="J76" s="150"/>
      <c r="K76" s="150"/>
      <c r="L76" s="150"/>
      <c r="M76" s="150" t="s">
        <v>306</v>
      </c>
      <c r="N76" s="150"/>
      <c r="O76" s="184"/>
      <c r="P76" s="150"/>
      <c r="Q76" s="150"/>
      <c r="R76" s="110" t="e">
        <f t="shared" si="2"/>
        <v>#VALUE!</v>
      </c>
      <c r="S76" s="110"/>
      <c r="T76" s="19" t="e">
        <f>I76+K76+M76+O76</f>
        <v>#VALUE!</v>
      </c>
      <c r="U76" s="13">
        <f t="shared" ref="U76:U107" si="28">J76+L76</f>
        <v>0</v>
      </c>
      <c r="X76" s="14">
        <f t="shared" si="22"/>
        <v>0</v>
      </c>
      <c r="Y76" s="14">
        <f t="shared" si="23"/>
        <v>0</v>
      </c>
    </row>
    <row r="77" spans="1:25" ht="189.75" customHeight="1" x14ac:dyDescent="0.25">
      <c r="A77" s="82" t="s">
        <v>30</v>
      </c>
      <c r="B77" s="83" t="s">
        <v>63</v>
      </c>
      <c r="C77" s="123" t="s">
        <v>223</v>
      </c>
      <c r="D77" s="191" t="s">
        <v>290</v>
      </c>
      <c r="E77" s="126">
        <v>43839</v>
      </c>
      <c r="F77" s="126">
        <v>44196</v>
      </c>
      <c r="G77" s="126">
        <v>43839</v>
      </c>
      <c r="H77" s="126" t="s">
        <v>138</v>
      </c>
      <c r="I77" s="122" t="s">
        <v>138</v>
      </c>
      <c r="J77" s="122" t="s">
        <v>138</v>
      </c>
      <c r="K77" s="122" t="s">
        <v>138</v>
      </c>
      <c r="L77" s="122" t="s">
        <v>138</v>
      </c>
      <c r="M77" s="122" t="s">
        <v>138</v>
      </c>
      <c r="N77" s="122" t="s">
        <v>138</v>
      </c>
      <c r="O77" s="122" t="s">
        <v>138</v>
      </c>
      <c r="P77" s="122" t="s">
        <v>138</v>
      </c>
      <c r="Q77" s="122" t="s">
        <v>138</v>
      </c>
      <c r="R77" s="110" t="e">
        <f t="shared" ref="R77:S126" si="29">I77+K77+M77+O77</f>
        <v>#VALUE!</v>
      </c>
      <c r="S77" s="110"/>
      <c r="U77" s="13" t="e">
        <f t="shared" si="28"/>
        <v>#VALUE!</v>
      </c>
      <c r="X77" s="14" t="e">
        <f t="shared" si="22"/>
        <v>#VALUE!</v>
      </c>
      <c r="Y77" s="14" t="e">
        <f t="shared" si="23"/>
        <v>#VALUE!</v>
      </c>
    </row>
    <row r="78" spans="1:25" ht="201.75" customHeight="1" x14ac:dyDescent="0.25">
      <c r="A78" s="82" t="s">
        <v>31</v>
      </c>
      <c r="B78" s="83" t="s">
        <v>320</v>
      </c>
      <c r="C78" s="123" t="s">
        <v>223</v>
      </c>
      <c r="D78" s="83" t="s">
        <v>291</v>
      </c>
      <c r="E78" s="126">
        <v>43839</v>
      </c>
      <c r="F78" s="126">
        <v>44196</v>
      </c>
      <c r="G78" s="126">
        <v>43839</v>
      </c>
      <c r="H78" s="126" t="s">
        <v>138</v>
      </c>
      <c r="I78" s="122" t="s">
        <v>138</v>
      </c>
      <c r="J78" s="122" t="s">
        <v>138</v>
      </c>
      <c r="K78" s="122" t="s">
        <v>138</v>
      </c>
      <c r="L78" s="122" t="s">
        <v>138</v>
      </c>
      <c r="M78" s="122" t="s">
        <v>138</v>
      </c>
      <c r="N78" s="122" t="s">
        <v>138</v>
      </c>
      <c r="O78" s="122" t="s">
        <v>138</v>
      </c>
      <c r="P78" s="122" t="s">
        <v>138</v>
      </c>
      <c r="Q78" s="122" t="s">
        <v>138</v>
      </c>
      <c r="R78" s="110" t="e">
        <f t="shared" si="29"/>
        <v>#VALUE!</v>
      </c>
      <c r="S78" s="110"/>
      <c r="U78" s="13" t="e">
        <f t="shared" si="28"/>
        <v>#VALUE!</v>
      </c>
      <c r="X78" s="14" t="e">
        <f t="shared" si="22"/>
        <v>#VALUE!</v>
      </c>
      <c r="Y78" s="14" t="e">
        <f t="shared" si="23"/>
        <v>#VALUE!</v>
      </c>
    </row>
    <row r="79" spans="1:25" s="63" customFormat="1" ht="170.25" customHeight="1" x14ac:dyDescent="0.25">
      <c r="A79" s="82" t="s">
        <v>183</v>
      </c>
      <c r="B79" s="83" t="s">
        <v>238</v>
      </c>
      <c r="C79" s="123"/>
      <c r="D79" s="83" t="s">
        <v>423</v>
      </c>
      <c r="E79" s="199">
        <v>43900</v>
      </c>
      <c r="F79" s="126">
        <v>44196</v>
      </c>
      <c r="G79" s="126">
        <v>43900</v>
      </c>
      <c r="H79" s="126" t="s">
        <v>138</v>
      </c>
      <c r="I79" s="122">
        <v>18</v>
      </c>
      <c r="J79" s="122">
        <v>18</v>
      </c>
      <c r="K79" s="122">
        <v>39.700000000000003</v>
      </c>
      <c r="L79" s="122">
        <f>41-J79</f>
        <v>23</v>
      </c>
      <c r="M79" s="185">
        <v>207.5</v>
      </c>
      <c r="N79" s="141">
        <f>374.9-L79-J79</f>
        <v>333.9</v>
      </c>
      <c r="O79" s="122">
        <v>365.8</v>
      </c>
      <c r="P79" s="122">
        <v>0</v>
      </c>
      <c r="Q79" s="122" t="s">
        <v>481</v>
      </c>
      <c r="R79" s="110">
        <f t="shared" si="29"/>
        <v>631</v>
      </c>
      <c r="S79" s="110"/>
      <c r="U79" s="63">
        <f t="shared" si="28"/>
        <v>41</v>
      </c>
      <c r="V79" s="63">
        <v>105.9</v>
      </c>
      <c r="X79" s="14">
        <f t="shared" si="22"/>
        <v>64.900000000000006</v>
      </c>
      <c r="Y79" s="14">
        <f t="shared" si="23"/>
        <v>-269</v>
      </c>
    </row>
    <row r="80" spans="1:25" s="63" customFormat="1" ht="182.25" customHeight="1" x14ac:dyDescent="0.25">
      <c r="A80" s="82" t="s">
        <v>186</v>
      </c>
      <c r="B80" s="83" t="s">
        <v>309</v>
      </c>
      <c r="C80" s="123"/>
      <c r="D80" s="83" t="s">
        <v>439</v>
      </c>
      <c r="E80" s="126">
        <v>43900</v>
      </c>
      <c r="F80" s="126">
        <v>44196</v>
      </c>
      <c r="G80" s="126">
        <v>43900</v>
      </c>
      <c r="H80" s="126" t="s">
        <v>138</v>
      </c>
      <c r="I80" s="122">
        <v>0</v>
      </c>
      <c r="J80" s="122">
        <v>0</v>
      </c>
      <c r="K80" s="122">
        <v>0</v>
      </c>
      <c r="L80" s="122">
        <v>0</v>
      </c>
      <c r="M80" s="185">
        <v>24</v>
      </c>
      <c r="N80" s="122">
        <v>375.2</v>
      </c>
      <c r="O80" s="122">
        <v>564</v>
      </c>
      <c r="P80" s="122">
        <v>0</v>
      </c>
      <c r="Q80" s="122" t="s">
        <v>481</v>
      </c>
      <c r="R80" s="110">
        <f t="shared" si="29"/>
        <v>588</v>
      </c>
      <c r="S80" s="110"/>
      <c r="U80" s="63">
        <f t="shared" si="28"/>
        <v>0</v>
      </c>
      <c r="V80" s="63">
        <v>363.4</v>
      </c>
      <c r="X80" s="14">
        <f t="shared" si="22"/>
        <v>363.4</v>
      </c>
      <c r="Y80" s="14">
        <f t="shared" si="23"/>
        <v>-11.800000000000011</v>
      </c>
    </row>
    <row r="81" spans="1:25" s="63" customFormat="1" ht="160.5" customHeight="1" x14ac:dyDescent="0.25">
      <c r="A81" s="82" t="s">
        <v>269</v>
      </c>
      <c r="B81" s="83" t="s">
        <v>424</v>
      </c>
      <c r="C81" s="123"/>
      <c r="D81" s="83" t="s">
        <v>400</v>
      </c>
      <c r="E81" s="126">
        <v>43900</v>
      </c>
      <c r="F81" s="126">
        <v>44196</v>
      </c>
      <c r="G81" s="126">
        <v>43900</v>
      </c>
      <c r="H81" s="126" t="s">
        <v>138</v>
      </c>
      <c r="I81" s="122">
        <v>0</v>
      </c>
      <c r="J81" s="122">
        <v>0</v>
      </c>
      <c r="K81" s="122">
        <v>0</v>
      </c>
      <c r="L81" s="122">
        <v>0</v>
      </c>
      <c r="M81" s="185">
        <v>0</v>
      </c>
      <c r="N81" s="122">
        <v>0</v>
      </c>
      <c r="O81" s="122">
        <v>9</v>
      </c>
      <c r="P81" s="122">
        <v>0</v>
      </c>
      <c r="Q81" s="122"/>
      <c r="R81" s="110">
        <f t="shared" si="29"/>
        <v>9</v>
      </c>
      <c r="S81" s="110"/>
      <c r="U81" s="63">
        <f t="shared" si="28"/>
        <v>0</v>
      </c>
      <c r="X81" s="14">
        <f t="shared" si="22"/>
        <v>0</v>
      </c>
      <c r="Y81" s="14">
        <f t="shared" si="23"/>
        <v>0</v>
      </c>
    </row>
    <row r="82" spans="1:25" s="63" customFormat="1" ht="172.5" customHeight="1" x14ac:dyDescent="0.25">
      <c r="A82" s="82" t="s">
        <v>268</v>
      </c>
      <c r="B82" s="83" t="s">
        <v>440</v>
      </c>
      <c r="C82" s="123"/>
      <c r="D82" s="83" t="s">
        <v>425</v>
      </c>
      <c r="E82" s="126">
        <v>43900</v>
      </c>
      <c r="F82" s="126">
        <v>44196</v>
      </c>
      <c r="G82" s="126">
        <v>43900</v>
      </c>
      <c r="H82" s="126" t="s">
        <v>138</v>
      </c>
      <c r="I82" s="122">
        <v>0</v>
      </c>
      <c r="J82" s="122">
        <v>0</v>
      </c>
      <c r="K82" s="122">
        <v>0</v>
      </c>
      <c r="L82" s="122">
        <v>0</v>
      </c>
      <c r="M82" s="185">
        <v>0</v>
      </c>
      <c r="N82" s="122">
        <v>38</v>
      </c>
      <c r="O82" s="122">
        <v>113</v>
      </c>
      <c r="P82" s="122">
        <v>0</v>
      </c>
      <c r="Q82" s="122"/>
      <c r="R82" s="110">
        <f t="shared" si="29"/>
        <v>113</v>
      </c>
      <c r="S82" s="110"/>
      <c r="U82" s="63">
        <f t="shared" si="28"/>
        <v>0</v>
      </c>
      <c r="V82" s="63">
        <v>3</v>
      </c>
      <c r="X82" s="14">
        <f t="shared" si="22"/>
        <v>3</v>
      </c>
      <c r="Y82" s="14">
        <f t="shared" si="23"/>
        <v>-35</v>
      </c>
    </row>
    <row r="83" spans="1:25" s="63" customFormat="1" ht="168.75" customHeight="1" x14ac:dyDescent="0.25">
      <c r="A83" s="82" t="s">
        <v>270</v>
      </c>
      <c r="B83" s="83" t="s">
        <v>310</v>
      </c>
      <c r="C83" s="123"/>
      <c r="D83" s="83" t="s">
        <v>401</v>
      </c>
      <c r="E83" s="126">
        <v>43900</v>
      </c>
      <c r="F83" s="126">
        <v>44196</v>
      </c>
      <c r="G83" s="126">
        <v>43900</v>
      </c>
      <c r="H83" s="126" t="s">
        <v>138</v>
      </c>
      <c r="I83" s="122">
        <v>0</v>
      </c>
      <c r="J83" s="122">
        <v>0</v>
      </c>
      <c r="K83" s="122">
        <v>0</v>
      </c>
      <c r="L83" s="122">
        <v>0</v>
      </c>
      <c r="M83" s="185">
        <v>54.4</v>
      </c>
      <c r="N83" s="122">
        <v>54.4</v>
      </c>
      <c r="O83" s="122">
        <v>17.600000000000001</v>
      </c>
      <c r="P83" s="122">
        <v>0</v>
      </c>
      <c r="Q83" s="122"/>
      <c r="R83" s="110">
        <f t="shared" si="29"/>
        <v>72</v>
      </c>
      <c r="S83" s="110"/>
      <c r="U83" s="63">
        <f t="shared" si="28"/>
        <v>0</v>
      </c>
      <c r="V83" s="63">
        <v>30.1</v>
      </c>
      <c r="X83" s="14">
        <f t="shared" si="22"/>
        <v>30.1</v>
      </c>
      <c r="Y83" s="14">
        <f t="shared" si="23"/>
        <v>-24.299999999999997</v>
      </c>
    </row>
    <row r="84" spans="1:25" s="63" customFormat="1" ht="182.25" customHeight="1" x14ac:dyDescent="0.25">
      <c r="A84" s="82" t="s">
        <v>276</v>
      </c>
      <c r="B84" s="83" t="s">
        <v>426</v>
      </c>
      <c r="C84" s="123"/>
      <c r="D84" s="83" t="s">
        <v>399</v>
      </c>
      <c r="E84" s="126">
        <v>43900</v>
      </c>
      <c r="F84" s="126">
        <v>44196</v>
      </c>
      <c r="G84" s="126">
        <v>43900</v>
      </c>
      <c r="H84" s="126" t="s">
        <v>138</v>
      </c>
      <c r="I84" s="122">
        <v>0</v>
      </c>
      <c r="J84" s="122">
        <v>10</v>
      </c>
      <c r="K84" s="122">
        <v>0</v>
      </c>
      <c r="L84" s="122">
        <v>0</v>
      </c>
      <c r="M84" s="185">
        <v>21</v>
      </c>
      <c r="N84" s="122">
        <f>81.7-J84</f>
        <v>71.7</v>
      </c>
      <c r="O84" s="122">
        <v>397</v>
      </c>
      <c r="P84" s="122">
        <v>0</v>
      </c>
      <c r="Q84" s="122"/>
      <c r="R84" s="110">
        <f t="shared" si="29"/>
        <v>418</v>
      </c>
      <c r="S84" s="110"/>
      <c r="U84" s="63">
        <f t="shared" si="28"/>
        <v>10</v>
      </c>
      <c r="X84" s="14">
        <f t="shared" si="22"/>
        <v>-10</v>
      </c>
      <c r="Y84" s="14">
        <f t="shared" si="23"/>
        <v>-81.7</v>
      </c>
    </row>
    <row r="85" spans="1:25" s="63" customFormat="1" ht="171.75" customHeight="1" x14ac:dyDescent="0.25">
      <c r="A85" s="82" t="s">
        <v>371</v>
      </c>
      <c r="B85" s="83" t="s">
        <v>427</v>
      </c>
      <c r="C85" s="123"/>
      <c r="D85" s="83" t="s">
        <v>372</v>
      </c>
      <c r="E85" s="126">
        <v>43900</v>
      </c>
      <c r="F85" s="126">
        <v>44196</v>
      </c>
      <c r="G85" s="126">
        <v>43900</v>
      </c>
      <c r="H85" s="126" t="s">
        <v>138</v>
      </c>
      <c r="I85" s="122">
        <v>0</v>
      </c>
      <c r="J85" s="122">
        <v>0</v>
      </c>
      <c r="K85" s="122">
        <v>0</v>
      </c>
      <c r="L85" s="122">
        <v>0</v>
      </c>
      <c r="M85" s="185">
        <v>0</v>
      </c>
      <c r="N85" s="122">
        <v>0</v>
      </c>
      <c r="O85" s="122">
        <v>82</v>
      </c>
      <c r="P85" s="122">
        <v>0</v>
      </c>
      <c r="Q85" s="122"/>
      <c r="R85" s="110">
        <f t="shared" si="29"/>
        <v>82</v>
      </c>
      <c r="S85" s="110"/>
      <c r="U85" s="63">
        <f t="shared" si="28"/>
        <v>0</v>
      </c>
      <c r="X85" s="14">
        <f t="shared" si="22"/>
        <v>0</v>
      </c>
      <c r="Y85" s="14">
        <f t="shared" si="23"/>
        <v>0</v>
      </c>
    </row>
    <row r="86" spans="1:25" s="63" customFormat="1" ht="171.75" customHeight="1" x14ac:dyDescent="0.25">
      <c r="A86" s="82" t="s">
        <v>374</v>
      </c>
      <c r="B86" s="83" t="s">
        <v>428</v>
      </c>
      <c r="C86" s="123"/>
      <c r="D86" s="83" t="s">
        <v>375</v>
      </c>
      <c r="E86" s="126">
        <v>43900</v>
      </c>
      <c r="F86" s="126">
        <v>44196</v>
      </c>
      <c r="G86" s="126">
        <v>43900</v>
      </c>
      <c r="H86" s="126" t="s">
        <v>138</v>
      </c>
      <c r="I86" s="122">
        <v>0</v>
      </c>
      <c r="J86" s="122">
        <v>0</v>
      </c>
      <c r="K86" s="122">
        <v>0</v>
      </c>
      <c r="L86" s="122">
        <v>0</v>
      </c>
      <c r="M86" s="185">
        <v>0</v>
      </c>
      <c r="N86" s="122">
        <v>10.5</v>
      </c>
      <c r="O86" s="122">
        <v>20</v>
      </c>
      <c r="P86" s="122">
        <v>0</v>
      </c>
      <c r="Q86" s="122"/>
      <c r="R86" s="110">
        <f t="shared" si="29"/>
        <v>20</v>
      </c>
      <c r="S86" s="110"/>
      <c r="U86" s="63">
        <f t="shared" si="28"/>
        <v>0</v>
      </c>
      <c r="X86" s="14">
        <f t="shared" si="22"/>
        <v>0</v>
      </c>
      <c r="Y86" s="14">
        <f t="shared" si="23"/>
        <v>-10.5</v>
      </c>
    </row>
    <row r="87" spans="1:25" s="63" customFormat="1" ht="163.5" customHeight="1" x14ac:dyDescent="0.25">
      <c r="A87" s="82" t="s">
        <v>377</v>
      </c>
      <c r="B87" s="83" t="s">
        <v>429</v>
      </c>
      <c r="C87" s="123"/>
      <c r="D87" s="83" t="s">
        <v>378</v>
      </c>
      <c r="E87" s="126">
        <v>43900</v>
      </c>
      <c r="F87" s="126">
        <v>44196</v>
      </c>
      <c r="G87" s="126">
        <v>43900</v>
      </c>
      <c r="H87" s="126" t="s">
        <v>138</v>
      </c>
      <c r="I87" s="122">
        <v>0</v>
      </c>
      <c r="J87" s="122">
        <v>0</v>
      </c>
      <c r="K87" s="122">
        <v>0</v>
      </c>
      <c r="L87" s="122">
        <v>0</v>
      </c>
      <c r="M87" s="185">
        <v>0</v>
      </c>
      <c r="N87" s="122">
        <v>0</v>
      </c>
      <c r="O87" s="122">
        <v>50</v>
      </c>
      <c r="P87" s="122">
        <v>0</v>
      </c>
      <c r="Q87" s="122"/>
      <c r="R87" s="110">
        <f t="shared" si="29"/>
        <v>50</v>
      </c>
      <c r="S87" s="110"/>
      <c r="U87" s="63">
        <f t="shared" si="28"/>
        <v>0</v>
      </c>
      <c r="X87" s="14">
        <f t="shared" si="22"/>
        <v>0</v>
      </c>
      <c r="Y87" s="14">
        <f t="shared" si="23"/>
        <v>0</v>
      </c>
    </row>
    <row r="88" spans="1:25" s="63" customFormat="1" ht="182.25" customHeight="1" x14ac:dyDescent="0.25">
      <c r="A88" s="82" t="s">
        <v>379</v>
      </c>
      <c r="B88" s="83" t="s">
        <v>430</v>
      </c>
      <c r="C88" s="123"/>
      <c r="D88" s="83" t="s">
        <v>381</v>
      </c>
      <c r="E88" s="126">
        <v>43900</v>
      </c>
      <c r="F88" s="126">
        <v>44196</v>
      </c>
      <c r="G88" s="126">
        <v>43900</v>
      </c>
      <c r="H88" s="126" t="s">
        <v>138</v>
      </c>
      <c r="I88" s="122">
        <v>0</v>
      </c>
      <c r="J88" s="122">
        <v>0</v>
      </c>
      <c r="K88" s="122">
        <v>0</v>
      </c>
      <c r="L88" s="122">
        <v>0</v>
      </c>
      <c r="M88" s="185">
        <v>17</v>
      </c>
      <c r="N88" s="122">
        <v>17</v>
      </c>
      <c r="O88" s="122">
        <v>0</v>
      </c>
      <c r="P88" s="122">
        <v>0</v>
      </c>
      <c r="Q88" s="122"/>
      <c r="R88" s="110">
        <f t="shared" si="29"/>
        <v>17</v>
      </c>
      <c r="S88" s="110"/>
      <c r="U88" s="63">
        <f t="shared" si="28"/>
        <v>0</v>
      </c>
      <c r="X88" s="14">
        <f t="shared" si="22"/>
        <v>0</v>
      </c>
      <c r="Y88" s="14">
        <f t="shared" si="23"/>
        <v>-17</v>
      </c>
    </row>
    <row r="89" spans="1:25" ht="96.75" customHeight="1" x14ac:dyDescent="0.25">
      <c r="A89" s="82" t="s">
        <v>44</v>
      </c>
      <c r="B89" s="83" t="s">
        <v>65</v>
      </c>
      <c r="C89" s="123" t="s">
        <v>223</v>
      </c>
      <c r="D89" s="83" t="s">
        <v>292</v>
      </c>
      <c r="E89" s="126">
        <v>43839</v>
      </c>
      <c r="F89" s="126">
        <v>44196</v>
      </c>
      <c r="G89" s="126">
        <v>43839</v>
      </c>
      <c r="H89" s="126" t="s">
        <v>138</v>
      </c>
      <c r="I89" s="122" t="s">
        <v>138</v>
      </c>
      <c r="J89" s="122" t="s">
        <v>138</v>
      </c>
      <c r="K89" s="122" t="s">
        <v>138</v>
      </c>
      <c r="L89" s="122" t="s">
        <v>138</v>
      </c>
      <c r="M89" s="122" t="s">
        <v>138</v>
      </c>
      <c r="N89" s="122" t="s">
        <v>138</v>
      </c>
      <c r="O89" s="122" t="s">
        <v>138</v>
      </c>
      <c r="P89" s="122" t="s">
        <v>138</v>
      </c>
      <c r="Q89" s="122" t="s">
        <v>138</v>
      </c>
      <c r="R89" s="110" t="e">
        <f t="shared" si="29"/>
        <v>#VALUE!</v>
      </c>
      <c r="S89" s="110"/>
      <c r="U89" s="13" t="e">
        <f t="shared" si="28"/>
        <v>#VALUE!</v>
      </c>
      <c r="X89" s="14" t="e">
        <f t="shared" si="22"/>
        <v>#VALUE!</v>
      </c>
      <c r="Y89" s="14" t="e">
        <f t="shared" si="23"/>
        <v>#VALUE!</v>
      </c>
    </row>
    <row r="90" spans="1:25" ht="189.75" customHeight="1" x14ac:dyDescent="0.25">
      <c r="A90" s="82" t="s">
        <v>46</v>
      </c>
      <c r="B90" s="83" t="s">
        <v>321</v>
      </c>
      <c r="C90" s="123" t="s">
        <v>223</v>
      </c>
      <c r="D90" s="83" t="s">
        <v>292</v>
      </c>
      <c r="E90" s="126">
        <v>43839</v>
      </c>
      <c r="F90" s="126">
        <v>44196</v>
      </c>
      <c r="G90" s="126">
        <v>43839</v>
      </c>
      <c r="H90" s="126" t="s">
        <v>138</v>
      </c>
      <c r="I90" s="122" t="s">
        <v>138</v>
      </c>
      <c r="J90" s="122" t="s">
        <v>138</v>
      </c>
      <c r="K90" s="122" t="s">
        <v>138</v>
      </c>
      <c r="L90" s="122" t="s">
        <v>138</v>
      </c>
      <c r="M90" s="122" t="s">
        <v>138</v>
      </c>
      <c r="N90" s="122" t="s">
        <v>138</v>
      </c>
      <c r="O90" s="122" t="s">
        <v>138</v>
      </c>
      <c r="P90" s="122" t="s">
        <v>138</v>
      </c>
      <c r="Q90" s="122" t="s">
        <v>138</v>
      </c>
      <c r="R90" s="110" t="e">
        <f t="shared" si="29"/>
        <v>#VALUE!</v>
      </c>
      <c r="S90" s="110"/>
      <c r="U90" s="13" t="e">
        <f t="shared" si="28"/>
        <v>#VALUE!</v>
      </c>
      <c r="X90" s="14" t="e">
        <f t="shared" ref="X90:X126" si="30">V90-J90-L90</f>
        <v>#VALUE!</v>
      </c>
      <c r="Y90" s="14" t="e">
        <f t="shared" ref="Y90:Y121" si="31">X90-N90</f>
        <v>#VALUE!</v>
      </c>
    </row>
    <row r="91" spans="1:25" ht="179.25" customHeight="1" x14ac:dyDescent="0.25">
      <c r="A91" s="82" t="s">
        <v>48</v>
      </c>
      <c r="B91" s="83" t="s">
        <v>67</v>
      </c>
      <c r="C91" s="123" t="s">
        <v>223</v>
      </c>
      <c r="D91" s="83" t="s">
        <v>292</v>
      </c>
      <c r="E91" s="126">
        <v>43839</v>
      </c>
      <c r="F91" s="126">
        <v>44196</v>
      </c>
      <c r="G91" s="126">
        <v>43839</v>
      </c>
      <c r="H91" s="126" t="s">
        <v>138</v>
      </c>
      <c r="I91" s="122" t="s">
        <v>138</v>
      </c>
      <c r="J91" s="122" t="s">
        <v>138</v>
      </c>
      <c r="K91" s="122" t="s">
        <v>138</v>
      </c>
      <c r="L91" s="122" t="s">
        <v>138</v>
      </c>
      <c r="M91" s="122" t="s">
        <v>138</v>
      </c>
      <c r="N91" s="122" t="s">
        <v>138</v>
      </c>
      <c r="O91" s="122" t="s">
        <v>138</v>
      </c>
      <c r="P91" s="122" t="s">
        <v>138</v>
      </c>
      <c r="Q91" s="122" t="s">
        <v>138</v>
      </c>
      <c r="R91" s="110" t="e">
        <f t="shared" si="29"/>
        <v>#VALUE!</v>
      </c>
      <c r="S91" s="110"/>
      <c r="U91" s="13" t="e">
        <f t="shared" si="28"/>
        <v>#VALUE!</v>
      </c>
      <c r="X91" s="14" t="e">
        <f t="shared" si="30"/>
        <v>#VALUE!</v>
      </c>
      <c r="Y91" s="14" t="e">
        <f t="shared" si="31"/>
        <v>#VALUE!</v>
      </c>
    </row>
    <row r="92" spans="1:25" ht="105.75" customHeight="1" x14ac:dyDescent="0.25">
      <c r="A92" s="82" t="s">
        <v>50</v>
      </c>
      <c r="B92" s="83" t="s">
        <v>322</v>
      </c>
      <c r="C92" s="123" t="s">
        <v>223</v>
      </c>
      <c r="D92" s="83" t="s">
        <v>292</v>
      </c>
      <c r="E92" s="126">
        <v>43839</v>
      </c>
      <c r="F92" s="126">
        <v>44196</v>
      </c>
      <c r="G92" s="126">
        <v>43839</v>
      </c>
      <c r="H92" s="126" t="s">
        <v>138</v>
      </c>
      <c r="I92" s="122" t="s">
        <v>138</v>
      </c>
      <c r="J92" s="122" t="s">
        <v>138</v>
      </c>
      <c r="K92" s="122" t="s">
        <v>138</v>
      </c>
      <c r="L92" s="122" t="s">
        <v>138</v>
      </c>
      <c r="M92" s="122" t="s">
        <v>138</v>
      </c>
      <c r="N92" s="122" t="s">
        <v>138</v>
      </c>
      <c r="O92" s="122" t="s">
        <v>138</v>
      </c>
      <c r="P92" s="122" t="s">
        <v>138</v>
      </c>
      <c r="Q92" s="122" t="s">
        <v>138</v>
      </c>
      <c r="R92" s="110" t="e">
        <f t="shared" si="29"/>
        <v>#VALUE!</v>
      </c>
      <c r="S92" s="110"/>
      <c r="U92" s="13" t="e">
        <f t="shared" si="28"/>
        <v>#VALUE!</v>
      </c>
      <c r="X92" s="14" t="e">
        <f t="shared" si="30"/>
        <v>#VALUE!</v>
      </c>
      <c r="Y92" s="14" t="e">
        <f t="shared" si="31"/>
        <v>#VALUE!</v>
      </c>
    </row>
    <row r="93" spans="1:25" ht="102" customHeight="1" x14ac:dyDescent="0.25">
      <c r="A93" s="151"/>
      <c r="B93" s="83" t="s">
        <v>343</v>
      </c>
      <c r="C93" s="123" t="s">
        <v>223</v>
      </c>
      <c r="D93" s="83" t="s">
        <v>292</v>
      </c>
      <c r="E93" s="123" t="s">
        <v>138</v>
      </c>
      <c r="F93" s="126" t="s">
        <v>471</v>
      </c>
      <c r="G93" s="126" t="s">
        <v>138</v>
      </c>
      <c r="H93" s="126" t="s">
        <v>482</v>
      </c>
      <c r="I93" s="122" t="s">
        <v>138</v>
      </c>
      <c r="J93" s="122" t="s">
        <v>138</v>
      </c>
      <c r="K93" s="122" t="s">
        <v>138</v>
      </c>
      <c r="L93" s="122" t="s">
        <v>138</v>
      </c>
      <c r="M93" s="122" t="s">
        <v>138</v>
      </c>
      <c r="N93" s="122" t="s">
        <v>138</v>
      </c>
      <c r="O93" s="122" t="s">
        <v>138</v>
      </c>
      <c r="P93" s="122" t="s">
        <v>138</v>
      </c>
      <c r="Q93" s="122" t="s">
        <v>138</v>
      </c>
      <c r="R93" s="110" t="e">
        <f t="shared" si="29"/>
        <v>#VALUE!</v>
      </c>
      <c r="S93" s="110"/>
      <c r="U93" s="13" t="e">
        <f t="shared" si="28"/>
        <v>#VALUE!</v>
      </c>
      <c r="X93" s="14" t="e">
        <f t="shared" si="30"/>
        <v>#VALUE!</v>
      </c>
      <c r="Y93" s="14" t="e">
        <f t="shared" si="31"/>
        <v>#VALUE!</v>
      </c>
    </row>
    <row r="94" spans="1:25" ht="120" customHeight="1" x14ac:dyDescent="0.25">
      <c r="A94" s="82" t="s">
        <v>52</v>
      </c>
      <c r="B94" s="83" t="s">
        <v>69</v>
      </c>
      <c r="C94" s="123" t="s">
        <v>223</v>
      </c>
      <c r="D94" s="83" t="s">
        <v>292</v>
      </c>
      <c r="E94" s="126">
        <v>43839</v>
      </c>
      <c r="F94" s="126">
        <v>44196</v>
      </c>
      <c r="G94" s="126">
        <v>43839</v>
      </c>
      <c r="H94" s="126" t="s">
        <v>138</v>
      </c>
      <c r="I94" s="122" t="s">
        <v>138</v>
      </c>
      <c r="J94" s="122" t="s">
        <v>138</v>
      </c>
      <c r="K94" s="122" t="s">
        <v>138</v>
      </c>
      <c r="L94" s="122" t="s">
        <v>138</v>
      </c>
      <c r="M94" s="122" t="s">
        <v>138</v>
      </c>
      <c r="N94" s="122" t="s">
        <v>138</v>
      </c>
      <c r="O94" s="122" t="s">
        <v>138</v>
      </c>
      <c r="P94" s="122" t="s">
        <v>138</v>
      </c>
      <c r="Q94" s="122" t="s">
        <v>138</v>
      </c>
      <c r="R94" s="110" t="e">
        <f t="shared" si="29"/>
        <v>#VALUE!</v>
      </c>
      <c r="S94" s="110"/>
      <c r="U94" s="13" t="e">
        <f t="shared" si="28"/>
        <v>#VALUE!</v>
      </c>
      <c r="X94" s="14" t="e">
        <f t="shared" si="30"/>
        <v>#VALUE!</v>
      </c>
      <c r="Y94" s="14" t="e">
        <f t="shared" si="31"/>
        <v>#VALUE!</v>
      </c>
    </row>
    <row r="95" spans="1:25" ht="102.75" customHeight="1" x14ac:dyDescent="0.25">
      <c r="A95" s="82" t="s">
        <v>354</v>
      </c>
      <c r="B95" s="83" t="s">
        <v>256</v>
      </c>
      <c r="C95" s="123" t="s">
        <v>223</v>
      </c>
      <c r="D95" s="83" t="s">
        <v>292</v>
      </c>
      <c r="E95" s="126">
        <v>43839</v>
      </c>
      <c r="F95" s="126">
        <v>44196</v>
      </c>
      <c r="G95" s="126">
        <v>43839</v>
      </c>
      <c r="H95" s="126" t="s">
        <v>138</v>
      </c>
      <c r="I95" s="122" t="s">
        <v>138</v>
      </c>
      <c r="J95" s="122" t="s">
        <v>138</v>
      </c>
      <c r="K95" s="122" t="s">
        <v>138</v>
      </c>
      <c r="L95" s="122" t="s">
        <v>138</v>
      </c>
      <c r="M95" s="122" t="s">
        <v>138</v>
      </c>
      <c r="N95" s="122" t="s">
        <v>138</v>
      </c>
      <c r="O95" s="122" t="s">
        <v>138</v>
      </c>
      <c r="P95" s="122" t="s">
        <v>138</v>
      </c>
      <c r="Q95" s="122" t="s">
        <v>138</v>
      </c>
      <c r="R95" s="110" t="e">
        <f t="shared" si="29"/>
        <v>#VALUE!</v>
      </c>
      <c r="S95" s="110"/>
      <c r="U95" s="13" t="e">
        <f t="shared" si="28"/>
        <v>#VALUE!</v>
      </c>
      <c r="X95" s="14" t="e">
        <f t="shared" si="30"/>
        <v>#VALUE!</v>
      </c>
      <c r="Y95" s="14" t="e">
        <f t="shared" si="31"/>
        <v>#VALUE!</v>
      </c>
    </row>
    <row r="96" spans="1:25" ht="206.25" customHeight="1" x14ac:dyDescent="0.25">
      <c r="A96" s="82" t="s">
        <v>225</v>
      </c>
      <c r="B96" s="83" t="s">
        <v>323</v>
      </c>
      <c r="C96" s="123" t="s">
        <v>223</v>
      </c>
      <c r="D96" s="83" t="s">
        <v>292</v>
      </c>
      <c r="E96" s="126">
        <v>43839</v>
      </c>
      <c r="F96" s="126">
        <v>44196</v>
      </c>
      <c r="G96" s="126">
        <v>43839</v>
      </c>
      <c r="H96" s="126" t="s">
        <v>138</v>
      </c>
      <c r="I96" s="122" t="s">
        <v>138</v>
      </c>
      <c r="J96" s="122" t="s">
        <v>138</v>
      </c>
      <c r="K96" s="122" t="s">
        <v>138</v>
      </c>
      <c r="L96" s="122" t="s">
        <v>138</v>
      </c>
      <c r="M96" s="122" t="s">
        <v>138</v>
      </c>
      <c r="N96" s="122" t="s">
        <v>138</v>
      </c>
      <c r="O96" s="122" t="s">
        <v>138</v>
      </c>
      <c r="P96" s="122" t="s">
        <v>138</v>
      </c>
      <c r="Q96" s="122" t="s">
        <v>138</v>
      </c>
      <c r="R96" s="110" t="e">
        <f t="shared" si="29"/>
        <v>#VALUE!</v>
      </c>
      <c r="S96" s="110"/>
      <c r="U96" s="13" t="e">
        <f t="shared" si="28"/>
        <v>#VALUE!</v>
      </c>
      <c r="X96" s="14" t="e">
        <f t="shared" si="30"/>
        <v>#VALUE!</v>
      </c>
      <c r="Y96" s="14" t="e">
        <f t="shared" si="31"/>
        <v>#VALUE!</v>
      </c>
    </row>
    <row r="97" spans="1:25" ht="98.25" customHeight="1" x14ac:dyDescent="0.25">
      <c r="A97" s="82" t="s">
        <v>72</v>
      </c>
      <c r="B97" s="83" t="s">
        <v>73</v>
      </c>
      <c r="C97" s="123" t="s">
        <v>223</v>
      </c>
      <c r="D97" s="83" t="s">
        <v>292</v>
      </c>
      <c r="E97" s="126">
        <v>43839</v>
      </c>
      <c r="F97" s="126">
        <v>44196</v>
      </c>
      <c r="G97" s="126">
        <v>43839</v>
      </c>
      <c r="H97" s="126" t="s">
        <v>138</v>
      </c>
      <c r="I97" s="122" t="s">
        <v>138</v>
      </c>
      <c r="J97" s="122" t="s">
        <v>138</v>
      </c>
      <c r="K97" s="122" t="s">
        <v>138</v>
      </c>
      <c r="L97" s="122" t="s">
        <v>138</v>
      </c>
      <c r="M97" s="122" t="s">
        <v>138</v>
      </c>
      <c r="N97" s="122" t="s">
        <v>138</v>
      </c>
      <c r="O97" s="122" t="s">
        <v>138</v>
      </c>
      <c r="P97" s="122" t="s">
        <v>138</v>
      </c>
      <c r="Q97" s="122" t="s">
        <v>138</v>
      </c>
      <c r="R97" s="110" t="e">
        <f t="shared" si="29"/>
        <v>#VALUE!</v>
      </c>
      <c r="S97" s="110"/>
      <c r="U97" s="13" t="e">
        <f t="shared" si="28"/>
        <v>#VALUE!</v>
      </c>
      <c r="X97" s="14" t="e">
        <f t="shared" si="30"/>
        <v>#VALUE!</v>
      </c>
      <c r="Y97" s="14" t="e">
        <f t="shared" si="31"/>
        <v>#VALUE!</v>
      </c>
    </row>
    <row r="98" spans="1:25" ht="150" customHeight="1" x14ac:dyDescent="0.25">
      <c r="A98" s="82" t="s">
        <v>353</v>
      </c>
      <c r="B98" s="83" t="s">
        <v>324</v>
      </c>
      <c r="C98" s="123" t="s">
        <v>223</v>
      </c>
      <c r="D98" s="83" t="s">
        <v>292</v>
      </c>
      <c r="E98" s="126">
        <v>43839</v>
      </c>
      <c r="F98" s="126">
        <v>44196</v>
      </c>
      <c r="G98" s="126">
        <v>43839</v>
      </c>
      <c r="H98" s="126" t="s">
        <v>138</v>
      </c>
      <c r="I98" s="122" t="s">
        <v>138</v>
      </c>
      <c r="J98" s="122" t="s">
        <v>138</v>
      </c>
      <c r="K98" s="122" t="s">
        <v>138</v>
      </c>
      <c r="L98" s="122" t="s">
        <v>138</v>
      </c>
      <c r="M98" s="122" t="s">
        <v>138</v>
      </c>
      <c r="N98" s="122" t="s">
        <v>138</v>
      </c>
      <c r="O98" s="122" t="s">
        <v>138</v>
      </c>
      <c r="P98" s="122" t="s">
        <v>138</v>
      </c>
      <c r="Q98" s="122" t="s">
        <v>138</v>
      </c>
      <c r="R98" s="110" t="e">
        <f t="shared" si="29"/>
        <v>#VALUE!</v>
      </c>
      <c r="S98" s="110"/>
      <c r="U98" s="13" t="e">
        <f t="shared" si="28"/>
        <v>#VALUE!</v>
      </c>
      <c r="X98" s="14" t="e">
        <f t="shared" si="30"/>
        <v>#VALUE!</v>
      </c>
      <c r="Y98" s="14" t="e">
        <f t="shared" si="31"/>
        <v>#VALUE!</v>
      </c>
    </row>
    <row r="99" spans="1:25" ht="106.5" customHeight="1" x14ac:dyDescent="0.25">
      <c r="A99" s="82" t="s">
        <v>85</v>
      </c>
      <c r="B99" s="83" t="s">
        <v>75</v>
      </c>
      <c r="C99" s="123" t="s">
        <v>223</v>
      </c>
      <c r="D99" s="83" t="s">
        <v>292</v>
      </c>
      <c r="E99" s="126">
        <v>43839</v>
      </c>
      <c r="F99" s="126">
        <v>44196</v>
      </c>
      <c r="G99" s="126">
        <v>43839</v>
      </c>
      <c r="H99" s="126" t="s">
        <v>138</v>
      </c>
      <c r="I99" s="122" t="s">
        <v>138</v>
      </c>
      <c r="J99" s="122" t="s">
        <v>138</v>
      </c>
      <c r="K99" s="122" t="s">
        <v>138</v>
      </c>
      <c r="L99" s="122" t="s">
        <v>138</v>
      </c>
      <c r="M99" s="122" t="s">
        <v>138</v>
      </c>
      <c r="N99" s="122" t="s">
        <v>138</v>
      </c>
      <c r="O99" s="122" t="s">
        <v>138</v>
      </c>
      <c r="P99" s="122" t="s">
        <v>138</v>
      </c>
      <c r="Q99" s="122" t="s">
        <v>138</v>
      </c>
      <c r="R99" s="110" t="e">
        <f t="shared" si="29"/>
        <v>#VALUE!</v>
      </c>
      <c r="S99" s="110"/>
      <c r="U99" s="13" t="e">
        <f t="shared" si="28"/>
        <v>#VALUE!</v>
      </c>
      <c r="X99" s="14" t="e">
        <f t="shared" si="30"/>
        <v>#VALUE!</v>
      </c>
      <c r="Y99" s="14" t="e">
        <f t="shared" si="31"/>
        <v>#VALUE!</v>
      </c>
    </row>
    <row r="100" spans="1:25" ht="98.25" customHeight="1" x14ac:dyDescent="0.25">
      <c r="A100" s="82" t="s">
        <v>139</v>
      </c>
      <c r="B100" s="83" t="s">
        <v>77</v>
      </c>
      <c r="C100" s="123" t="s">
        <v>223</v>
      </c>
      <c r="D100" s="83" t="s">
        <v>292</v>
      </c>
      <c r="E100" s="126">
        <v>43839</v>
      </c>
      <c r="F100" s="126">
        <v>44196</v>
      </c>
      <c r="G100" s="126">
        <v>43839</v>
      </c>
      <c r="H100" s="126" t="s">
        <v>138</v>
      </c>
      <c r="I100" s="122" t="s">
        <v>138</v>
      </c>
      <c r="J100" s="122" t="s">
        <v>138</v>
      </c>
      <c r="K100" s="122" t="s">
        <v>138</v>
      </c>
      <c r="L100" s="122" t="s">
        <v>138</v>
      </c>
      <c r="M100" s="122" t="s">
        <v>138</v>
      </c>
      <c r="N100" s="122" t="s">
        <v>138</v>
      </c>
      <c r="O100" s="122" t="s">
        <v>138</v>
      </c>
      <c r="P100" s="122" t="s">
        <v>138</v>
      </c>
      <c r="Q100" s="122" t="s">
        <v>138</v>
      </c>
      <c r="R100" s="110" t="e">
        <f t="shared" si="29"/>
        <v>#VALUE!</v>
      </c>
      <c r="S100" s="110"/>
      <c r="U100" s="13" t="e">
        <f t="shared" si="28"/>
        <v>#VALUE!</v>
      </c>
      <c r="X100" s="14" t="e">
        <f t="shared" si="30"/>
        <v>#VALUE!</v>
      </c>
      <c r="Y100" s="14" t="e">
        <f t="shared" si="31"/>
        <v>#VALUE!</v>
      </c>
    </row>
    <row r="101" spans="1:25" ht="94.5" x14ac:dyDescent="0.25">
      <c r="A101" s="161"/>
      <c r="B101" s="83" t="s">
        <v>344</v>
      </c>
      <c r="C101" s="123" t="s">
        <v>223</v>
      </c>
      <c r="D101" s="83" t="s">
        <v>292</v>
      </c>
      <c r="E101" s="126" t="s">
        <v>138</v>
      </c>
      <c r="F101" s="126" t="s">
        <v>471</v>
      </c>
      <c r="G101" s="123" t="s">
        <v>138</v>
      </c>
      <c r="H101" s="126" t="s">
        <v>483</v>
      </c>
      <c r="I101" s="122" t="s">
        <v>138</v>
      </c>
      <c r="J101" s="122" t="s">
        <v>138</v>
      </c>
      <c r="K101" s="122" t="s">
        <v>138</v>
      </c>
      <c r="L101" s="122" t="s">
        <v>138</v>
      </c>
      <c r="M101" s="122" t="s">
        <v>138</v>
      </c>
      <c r="N101" s="122" t="s">
        <v>138</v>
      </c>
      <c r="O101" s="122" t="s">
        <v>138</v>
      </c>
      <c r="P101" s="122" t="s">
        <v>138</v>
      </c>
      <c r="Q101" s="122" t="s">
        <v>138</v>
      </c>
      <c r="R101" s="110" t="e">
        <f t="shared" si="29"/>
        <v>#VALUE!</v>
      </c>
      <c r="S101" s="110"/>
      <c r="U101" s="13" t="e">
        <f t="shared" si="28"/>
        <v>#VALUE!</v>
      </c>
      <c r="X101" s="14" t="e">
        <f t="shared" si="30"/>
        <v>#VALUE!</v>
      </c>
      <c r="Y101" s="14" t="e">
        <f t="shared" si="31"/>
        <v>#VALUE!</v>
      </c>
    </row>
    <row r="102" spans="1:25" ht="94.5" x14ac:dyDescent="0.25">
      <c r="A102" s="82" t="s">
        <v>78</v>
      </c>
      <c r="B102" s="83" t="s">
        <v>79</v>
      </c>
      <c r="C102" s="123" t="s">
        <v>223</v>
      </c>
      <c r="D102" s="83" t="s">
        <v>292</v>
      </c>
      <c r="E102" s="126">
        <v>43839</v>
      </c>
      <c r="F102" s="126">
        <v>44196</v>
      </c>
      <c r="G102" s="126">
        <v>43839</v>
      </c>
      <c r="H102" s="126" t="s">
        <v>138</v>
      </c>
      <c r="I102" s="122" t="s">
        <v>138</v>
      </c>
      <c r="J102" s="122" t="s">
        <v>138</v>
      </c>
      <c r="K102" s="122" t="s">
        <v>138</v>
      </c>
      <c r="L102" s="122" t="s">
        <v>138</v>
      </c>
      <c r="M102" s="122" t="s">
        <v>138</v>
      </c>
      <c r="N102" s="122" t="s">
        <v>138</v>
      </c>
      <c r="O102" s="122" t="s">
        <v>138</v>
      </c>
      <c r="P102" s="122" t="s">
        <v>138</v>
      </c>
      <c r="Q102" s="122" t="s">
        <v>138</v>
      </c>
      <c r="R102" s="110" t="e">
        <f t="shared" si="29"/>
        <v>#VALUE!</v>
      </c>
      <c r="S102" s="110"/>
      <c r="U102" s="13" t="e">
        <f t="shared" si="28"/>
        <v>#VALUE!</v>
      </c>
      <c r="X102" s="14" t="e">
        <f t="shared" si="30"/>
        <v>#VALUE!</v>
      </c>
      <c r="Y102" s="14" t="e">
        <f t="shared" si="31"/>
        <v>#VALUE!</v>
      </c>
    </row>
    <row r="103" spans="1:25" ht="269.25" customHeight="1" x14ac:dyDescent="0.25">
      <c r="A103" s="82" t="s">
        <v>284</v>
      </c>
      <c r="B103" s="83" t="s">
        <v>259</v>
      </c>
      <c r="C103" s="123" t="s">
        <v>223</v>
      </c>
      <c r="D103" s="83" t="s">
        <v>292</v>
      </c>
      <c r="E103" s="126">
        <v>43474</v>
      </c>
      <c r="F103" s="126">
        <v>44196</v>
      </c>
      <c r="G103" s="126">
        <v>43839</v>
      </c>
      <c r="H103" s="126" t="s">
        <v>138</v>
      </c>
      <c r="I103" s="122">
        <v>590</v>
      </c>
      <c r="J103" s="122">
        <v>590</v>
      </c>
      <c r="K103" s="122">
        <v>0</v>
      </c>
      <c r="L103" s="122">
        <v>0</v>
      </c>
      <c r="M103" s="122">
        <v>0</v>
      </c>
      <c r="N103" s="122">
        <v>0</v>
      </c>
      <c r="O103" s="122">
        <v>0</v>
      </c>
      <c r="P103" s="122">
        <v>0</v>
      </c>
      <c r="Q103" s="122" t="s">
        <v>138</v>
      </c>
      <c r="R103" s="110">
        <f t="shared" si="29"/>
        <v>590</v>
      </c>
      <c r="S103" s="110"/>
      <c r="U103" s="13">
        <f t="shared" si="28"/>
        <v>590</v>
      </c>
      <c r="V103" s="13">
        <v>590</v>
      </c>
      <c r="X103" s="14">
        <f t="shared" si="30"/>
        <v>0</v>
      </c>
      <c r="Y103" s="14">
        <f t="shared" si="31"/>
        <v>0</v>
      </c>
    </row>
    <row r="104" spans="1:25" x14ac:dyDescent="0.25">
      <c r="A104" s="248" t="s">
        <v>229</v>
      </c>
      <c r="B104" s="248"/>
      <c r="C104" s="248"/>
      <c r="D104" s="248"/>
      <c r="E104" s="248"/>
      <c r="F104" s="248"/>
      <c r="G104" s="248"/>
      <c r="H104" s="248"/>
      <c r="I104" s="122">
        <f t="shared" ref="I104" si="32">I103+I88+I87+I86+I85+I84+I83+I82+I81+I80+I79</f>
        <v>608</v>
      </c>
      <c r="J104" s="122">
        <f t="shared" ref="J104" si="33">J103+J88+J87+J86+J85+J84+J83+J82+J81+J80+J79</f>
        <v>618</v>
      </c>
      <c r="K104" s="122">
        <f t="shared" ref="K104" si="34">K103+K88+K87+K86+K85+K84+K83+K82+K81+K80+K79</f>
        <v>39.700000000000003</v>
      </c>
      <c r="L104" s="122">
        <f t="shared" ref="L104" si="35">L103+L88+L87+L86+L85+L84+L83+L82+L81+L80+L79</f>
        <v>23</v>
      </c>
      <c r="M104" s="122">
        <f t="shared" ref="M104" si="36">M103+M88+M87+M86+M85+M84+M83+M82+M81+M80+M79</f>
        <v>323.89999999999998</v>
      </c>
      <c r="N104" s="122">
        <f>N79+N80+N81+N82+N83+N84+N85+N86+N87+N88+N103</f>
        <v>900.69999999999993</v>
      </c>
      <c r="O104" s="122">
        <f t="shared" ref="O104" si="37">O103+O88+O87+O86+O85+O84+O83+O82+O81+O80+O79</f>
        <v>1618.3999999999999</v>
      </c>
      <c r="P104" s="122">
        <f t="shared" ref="P104" si="38">P103+P88+P87+P86+P85+P84+P83+P82+P81+P80+P79</f>
        <v>0</v>
      </c>
      <c r="Q104" s="122" t="s">
        <v>138</v>
      </c>
      <c r="R104" s="110">
        <f t="shared" si="29"/>
        <v>2590</v>
      </c>
      <c r="S104" s="110"/>
      <c r="U104" s="13">
        <f t="shared" si="28"/>
        <v>641</v>
      </c>
      <c r="X104" s="14">
        <f t="shared" si="30"/>
        <v>-641</v>
      </c>
      <c r="Y104" s="14">
        <f t="shared" si="31"/>
        <v>-1541.6999999999998</v>
      </c>
    </row>
    <row r="105" spans="1:25" x14ac:dyDescent="0.25">
      <c r="A105" s="248" t="s">
        <v>228</v>
      </c>
      <c r="B105" s="248"/>
      <c r="C105" s="248"/>
      <c r="D105" s="248"/>
      <c r="E105" s="248"/>
      <c r="F105" s="248"/>
      <c r="G105" s="248"/>
      <c r="H105" s="248"/>
      <c r="I105" s="141">
        <f>I104</f>
        <v>608</v>
      </c>
      <c r="J105" s="141">
        <f t="shared" ref="J105:P105" si="39">J104</f>
        <v>618</v>
      </c>
      <c r="K105" s="141">
        <f t="shared" si="39"/>
        <v>39.700000000000003</v>
      </c>
      <c r="L105" s="141">
        <f t="shared" si="39"/>
        <v>23</v>
      </c>
      <c r="M105" s="141">
        <f t="shared" si="39"/>
        <v>323.89999999999998</v>
      </c>
      <c r="N105" s="141">
        <f t="shared" si="39"/>
        <v>900.69999999999993</v>
      </c>
      <c r="O105" s="141">
        <f t="shared" si="39"/>
        <v>1618.3999999999999</v>
      </c>
      <c r="P105" s="141">
        <f t="shared" si="39"/>
        <v>0</v>
      </c>
      <c r="Q105" s="150"/>
      <c r="R105" s="110">
        <f t="shared" si="29"/>
        <v>2590</v>
      </c>
      <c r="S105" s="110"/>
      <c r="U105" s="13">
        <f t="shared" si="28"/>
        <v>641</v>
      </c>
      <c r="X105" s="14">
        <f t="shared" si="30"/>
        <v>-641</v>
      </c>
      <c r="Y105" s="14">
        <f t="shared" si="31"/>
        <v>-1541.6999999999998</v>
      </c>
    </row>
    <row r="106" spans="1:25" x14ac:dyDescent="0.25">
      <c r="A106" s="248" t="s">
        <v>226</v>
      </c>
      <c r="B106" s="248"/>
      <c r="C106" s="248"/>
      <c r="D106" s="248"/>
      <c r="E106" s="248"/>
      <c r="F106" s="248"/>
      <c r="G106" s="248"/>
      <c r="H106" s="248"/>
      <c r="I106" s="122">
        <v>0</v>
      </c>
      <c r="J106" s="122">
        <v>0</v>
      </c>
      <c r="K106" s="122">
        <v>0</v>
      </c>
      <c r="L106" s="122">
        <v>0</v>
      </c>
      <c r="M106" s="122">
        <v>0</v>
      </c>
      <c r="N106" s="122">
        <v>0</v>
      </c>
      <c r="O106" s="122">
        <v>0</v>
      </c>
      <c r="P106" s="122">
        <v>0</v>
      </c>
      <c r="Q106" s="150"/>
      <c r="R106" s="110">
        <f t="shared" si="29"/>
        <v>0</v>
      </c>
      <c r="S106" s="110"/>
      <c r="U106" s="13">
        <f t="shared" si="28"/>
        <v>0</v>
      </c>
      <c r="X106" s="14">
        <f t="shared" si="30"/>
        <v>0</v>
      </c>
      <c r="Y106" s="14">
        <f t="shared" si="31"/>
        <v>0</v>
      </c>
    </row>
    <row r="107" spans="1:25" s="18" customFormat="1" ht="87.75" customHeight="1" x14ac:dyDescent="0.25">
      <c r="A107" s="146">
        <v>3</v>
      </c>
      <c r="B107" s="147" t="s">
        <v>29</v>
      </c>
      <c r="C107" s="148"/>
      <c r="D107" s="148"/>
      <c r="E107" s="149"/>
      <c r="F107" s="149"/>
      <c r="G107" s="149"/>
      <c r="H107" s="149"/>
      <c r="I107" s="150"/>
      <c r="J107" s="150"/>
      <c r="K107" s="150"/>
      <c r="L107" s="150"/>
      <c r="M107" s="150"/>
      <c r="N107" s="150"/>
      <c r="O107" s="184"/>
      <c r="P107" s="150"/>
      <c r="Q107" s="150"/>
      <c r="R107" s="110">
        <f t="shared" si="29"/>
        <v>0</v>
      </c>
      <c r="S107" s="110"/>
      <c r="T107" s="19">
        <f t="shared" ref="T107:T114" si="40">I107+K107+M107+O107</f>
        <v>0</v>
      </c>
      <c r="U107" s="13">
        <f t="shared" si="28"/>
        <v>0</v>
      </c>
      <c r="X107" s="14">
        <f t="shared" si="30"/>
        <v>0</v>
      </c>
      <c r="Y107" s="14">
        <f t="shared" si="31"/>
        <v>0</v>
      </c>
    </row>
    <row r="108" spans="1:25" s="18" customFormat="1" ht="168" customHeight="1" x14ac:dyDescent="0.25">
      <c r="A108" s="82" t="s">
        <v>31</v>
      </c>
      <c r="B108" s="162" t="s">
        <v>431</v>
      </c>
      <c r="C108" s="123" t="s">
        <v>223</v>
      </c>
      <c r="D108" s="83" t="s">
        <v>293</v>
      </c>
      <c r="E108" s="126">
        <v>43839</v>
      </c>
      <c r="F108" s="126">
        <v>44196</v>
      </c>
      <c r="G108" s="126">
        <v>43839</v>
      </c>
      <c r="H108" s="126" t="s">
        <v>138</v>
      </c>
      <c r="I108" s="141">
        <v>0</v>
      </c>
      <c r="J108" s="141">
        <v>0</v>
      </c>
      <c r="K108" s="141">
        <v>0</v>
      </c>
      <c r="L108" s="141">
        <v>0</v>
      </c>
      <c r="M108" s="141">
        <v>0</v>
      </c>
      <c r="N108" s="122">
        <v>0</v>
      </c>
      <c r="O108" s="141">
        <v>100</v>
      </c>
      <c r="P108" s="141">
        <v>0</v>
      </c>
      <c r="Q108" s="150" t="s">
        <v>138</v>
      </c>
      <c r="R108" s="110">
        <f t="shared" si="29"/>
        <v>100</v>
      </c>
      <c r="S108" s="110"/>
      <c r="T108" s="19">
        <f t="shared" si="40"/>
        <v>100</v>
      </c>
      <c r="U108" s="13">
        <f t="shared" ref="U108:U126" si="41">J108+L108</f>
        <v>0</v>
      </c>
      <c r="V108" s="19">
        <f>V109+V110</f>
        <v>45.8</v>
      </c>
      <c r="X108" s="14">
        <f t="shared" si="30"/>
        <v>45.8</v>
      </c>
      <c r="Y108" s="14">
        <f t="shared" si="31"/>
        <v>45.8</v>
      </c>
    </row>
    <row r="109" spans="1:25" s="18" customFormat="1" x14ac:dyDescent="0.25">
      <c r="A109" s="82"/>
      <c r="B109" s="251" t="s">
        <v>228</v>
      </c>
      <c r="C109" s="251"/>
      <c r="D109" s="251"/>
      <c r="E109" s="251"/>
      <c r="F109" s="251"/>
      <c r="G109" s="251"/>
      <c r="H109" s="251"/>
      <c r="I109" s="141">
        <v>0</v>
      </c>
      <c r="J109" s="141">
        <v>0</v>
      </c>
      <c r="K109" s="141">
        <v>0</v>
      </c>
      <c r="L109" s="141">
        <v>0</v>
      </c>
      <c r="M109" s="141">
        <v>0</v>
      </c>
      <c r="N109" s="122">
        <v>0</v>
      </c>
      <c r="O109" s="141">
        <v>24</v>
      </c>
      <c r="P109" s="141">
        <v>0</v>
      </c>
      <c r="Q109" s="150"/>
      <c r="R109" s="110">
        <f t="shared" si="29"/>
        <v>24</v>
      </c>
      <c r="S109" s="110"/>
      <c r="T109" s="19"/>
      <c r="U109" s="13">
        <f t="shared" si="41"/>
        <v>0</v>
      </c>
      <c r="V109" s="18">
        <v>11</v>
      </c>
      <c r="X109" s="14">
        <f t="shared" si="30"/>
        <v>11</v>
      </c>
      <c r="Y109" s="14">
        <f t="shared" si="31"/>
        <v>11</v>
      </c>
    </row>
    <row r="110" spans="1:25" s="18" customFormat="1" x14ac:dyDescent="0.25">
      <c r="A110" s="82"/>
      <c r="B110" s="251" t="s">
        <v>226</v>
      </c>
      <c r="C110" s="251"/>
      <c r="D110" s="251"/>
      <c r="E110" s="251"/>
      <c r="F110" s="251"/>
      <c r="G110" s="251"/>
      <c r="H110" s="251"/>
      <c r="I110" s="141">
        <v>0</v>
      </c>
      <c r="J110" s="141">
        <v>0</v>
      </c>
      <c r="K110" s="141">
        <v>0</v>
      </c>
      <c r="L110" s="141">
        <v>0</v>
      </c>
      <c r="M110" s="141">
        <v>0</v>
      </c>
      <c r="N110" s="122">
        <v>0</v>
      </c>
      <c r="O110" s="141">
        <v>76</v>
      </c>
      <c r="P110" s="141">
        <v>0</v>
      </c>
      <c r="Q110" s="150"/>
      <c r="R110" s="110">
        <f t="shared" si="29"/>
        <v>76</v>
      </c>
      <c r="S110" s="110"/>
      <c r="T110" s="19"/>
      <c r="U110" s="13">
        <f t="shared" si="41"/>
        <v>0</v>
      </c>
      <c r="V110" s="18">
        <v>34.799999999999997</v>
      </c>
      <c r="X110" s="14">
        <f t="shared" si="30"/>
        <v>34.799999999999997</v>
      </c>
      <c r="Y110" s="14">
        <f t="shared" si="31"/>
        <v>34.799999999999997</v>
      </c>
    </row>
    <row r="111" spans="1:25" s="18" customFormat="1" ht="78.75" x14ac:dyDescent="0.25">
      <c r="A111" s="82" t="s">
        <v>183</v>
      </c>
      <c r="B111" s="196" t="s">
        <v>432</v>
      </c>
      <c r="C111" s="123" t="s">
        <v>223</v>
      </c>
      <c r="D111" s="83" t="s">
        <v>230</v>
      </c>
      <c r="E111" s="126">
        <v>43839</v>
      </c>
      <c r="F111" s="126">
        <v>44196</v>
      </c>
      <c r="G111" s="126">
        <v>43839</v>
      </c>
      <c r="H111" s="126" t="s">
        <v>138</v>
      </c>
      <c r="I111" s="141">
        <v>0</v>
      </c>
      <c r="J111" s="141">
        <v>0</v>
      </c>
      <c r="K111" s="141">
        <v>0</v>
      </c>
      <c r="L111" s="163">
        <v>57.3</v>
      </c>
      <c r="M111" s="141">
        <v>57.3</v>
      </c>
      <c r="N111" s="122">
        <v>0</v>
      </c>
      <c r="O111" s="141">
        <v>192.7</v>
      </c>
      <c r="P111" s="141">
        <v>0</v>
      </c>
      <c r="Q111" s="164" t="s">
        <v>138</v>
      </c>
      <c r="R111" s="110">
        <f t="shared" si="29"/>
        <v>250</v>
      </c>
      <c r="S111" s="110"/>
      <c r="T111" s="19">
        <f t="shared" si="40"/>
        <v>250</v>
      </c>
      <c r="U111" s="13">
        <f t="shared" si="41"/>
        <v>57.3</v>
      </c>
      <c r="V111" s="19">
        <f>V112+V113</f>
        <v>121.8</v>
      </c>
      <c r="X111" s="14">
        <f t="shared" si="30"/>
        <v>64.5</v>
      </c>
      <c r="Y111" s="14">
        <f t="shared" si="31"/>
        <v>64.5</v>
      </c>
    </row>
    <row r="112" spans="1:25" s="18" customFormat="1" x14ac:dyDescent="0.25">
      <c r="A112" s="82"/>
      <c r="B112" s="251" t="s">
        <v>228</v>
      </c>
      <c r="C112" s="251"/>
      <c r="D112" s="251"/>
      <c r="E112" s="251"/>
      <c r="F112" s="251"/>
      <c r="G112" s="251"/>
      <c r="H112" s="251"/>
      <c r="I112" s="141">
        <v>0</v>
      </c>
      <c r="J112" s="141">
        <v>0</v>
      </c>
      <c r="K112" s="141">
        <v>0</v>
      </c>
      <c r="L112" s="141">
        <v>13.8</v>
      </c>
      <c r="M112" s="141">
        <v>13.8</v>
      </c>
      <c r="N112" s="122">
        <v>0</v>
      </c>
      <c r="O112" s="141">
        <v>46.2</v>
      </c>
      <c r="P112" s="141">
        <v>0</v>
      </c>
      <c r="Q112" s="150"/>
      <c r="R112" s="110">
        <f t="shared" si="29"/>
        <v>60</v>
      </c>
      <c r="S112" s="110"/>
      <c r="T112" s="19"/>
      <c r="U112" s="13">
        <f t="shared" si="41"/>
        <v>13.8</v>
      </c>
      <c r="V112" s="18">
        <v>29.2</v>
      </c>
      <c r="X112" s="14">
        <f t="shared" si="30"/>
        <v>15.399999999999999</v>
      </c>
      <c r="Y112" s="14">
        <f t="shared" si="31"/>
        <v>15.399999999999999</v>
      </c>
    </row>
    <row r="113" spans="1:26" s="18" customFormat="1" x14ac:dyDescent="0.25">
      <c r="A113" s="82"/>
      <c r="B113" s="251" t="s">
        <v>226</v>
      </c>
      <c r="C113" s="251"/>
      <c r="D113" s="251"/>
      <c r="E113" s="251"/>
      <c r="F113" s="251"/>
      <c r="G113" s="251"/>
      <c r="H113" s="251"/>
      <c r="I113" s="141">
        <v>0</v>
      </c>
      <c r="J113" s="141">
        <v>0</v>
      </c>
      <c r="K113" s="141">
        <v>0</v>
      </c>
      <c r="L113" s="141">
        <v>43.5</v>
      </c>
      <c r="M113" s="141">
        <v>43.5</v>
      </c>
      <c r="N113" s="122">
        <v>0</v>
      </c>
      <c r="O113" s="141">
        <v>146.5</v>
      </c>
      <c r="P113" s="141">
        <v>0</v>
      </c>
      <c r="Q113" s="150"/>
      <c r="R113" s="110">
        <f t="shared" si="29"/>
        <v>190</v>
      </c>
      <c r="S113" s="110"/>
      <c r="T113" s="19"/>
      <c r="U113" s="13">
        <f t="shared" si="41"/>
        <v>43.5</v>
      </c>
      <c r="V113" s="19">
        <v>92.6</v>
      </c>
      <c r="X113" s="14">
        <f t="shared" si="30"/>
        <v>49.099999999999994</v>
      </c>
      <c r="Y113" s="14">
        <f t="shared" si="31"/>
        <v>49.099999999999994</v>
      </c>
    </row>
    <row r="114" spans="1:26" s="18" customFormat="1" ht="134.44999999999999" customHeight="1" x14ac:dyDescent="0.25">
      <c r="A114" s="82" t="s">
        <v>186</v>
      </c>
      <c r="B114" s="162" t="s">
        <v>433</v>
      </c>
      <c r="C114" s="123" t="s">
        <v>223</v>
      </c>
      <c r="D114" s="151" t="s">
        <v>285</v>
      </c>
      <c r="E114" s="126">
        <v>43839</v>
      </c>
      <c r="F114" s="126">
        <v>44196</v>
      </c>
      <c r="G114" s="126">
        <v>43839</v>
      </c>
      <c r="H114" s="126" t="s">
        <v>138</v>
      </c>
      <c r="I114" s="141">
        <v>0</v>
      </c>
      <c r="J114" s="141">
        <v>0</v>
      </c>
      <c r="K114" s="141">
        <v>0</v>
      </c>
      <c r="L114" s="141">
        <v>0</v>
      </c>
      <c r="M114" s="141">
        <v>0</v>
      </c>
      <c r="N114" s="122">
        <v>0</v>
      </c>
      <c r="O114" s="141">
        <v>32.5</v>
      </c>
      <c r="P114" s="141">
        <v>0</v>
      </c>
      <c r="Q114" s="150"/>
      <c r="R114" s="110">
        <f t="shared" si="29"/>
        <v>32.5</v>
      </c>
      <c r="S114" s="110"/>
      <c r="T114" s="19">
        <f t="shared" si="40"/>
        <v>32.5</v>
      </c>
      <c r="U114" s="13">
        <f t="shared" si="41"/>
        <v>0</v>
      </c>
      <c r="V114" s="18">
        <f>V115+V116</f>
        <v>8</v>
      </c>
      <c r="X114" s="14">
        <f t="shared" si="30"/>
        <v>8</v>
      </c>
      <c r="Y114" s="14">
        <f t="shared" si="31"/>
        <v>8</v>
      </c>
    </row>
    <row r="115" spans="1:26" s="18" customFormat="1" x14ac:dyDescent="0.25">
      <c r="A115" s="82"/>
      <c r="B115" s="251" t="s">
        <v>228</v>
      </c>
      <c r="C115" s="251"/>
      <c r="D115" s="251"/>
      <c r="E115" s="251"/>
      <c r="F115" s="251"/>
      <c r="G115" s="251"/>
      <c r="H115" s="251"/>
      <c r="I115" s="141">
        <v>0</v>
      </c>
      <c r="J115" s="141">
        <v>0</v>
      </c>
      <c r="K115" s="141">
        <v>0</v>
      </c>
      <c r="L115" s="141">
        <v>0</v>
      </c>
      <c r="M115" s="141">
        <v>0</v>
      </c>
      <c r="N115" s="122">
        <v>0</v>
      </c>
      <c r="O115" s="141">
        <v>7.8</v>
      </c>
      <c r="P115" s="141">
        <v>0</v>
      </c>
      <c r="Q115" s="150"/>
      <c r="R115" s="110">
        <f t="shared" si="29"/>
        <v>7.8</v>
      </c>
      <c r="S115" s="110"/>
      <c r="T115" s="19"/>
      <c r="U115" s="13">
        <f t="shared" si="41"/>
        <v>0</v>
      </c>
      <c r="V115" s="18">
        <v>1.9</v>
      </c>
      <c r="X115" s="14">
        <f t="shared" si="30"/>
        <v>1.9</v>
      </c>
      <c r="Y115" s="14">
        <f t="shared" si="31"/>
        <v>1.9</v>
      </c>
    </row>
    <row r="116" spans="1:26" s="18" customFormat="1" x14ac:dyDescent="0.25">
      <c r="A116" s="82"/>
      <c r="B116" s="251" t="s">
        <v>226</v>
      </c>
      <c r="C116" s="251"/>
      <c r="D116" s="251"/>
      <c r="E116" s="251"/>
      <c r="F116" s="251"/>
      <c r="G116" s="251"/>
      <c r="H116" s="251"/>
      <c r="I116" s="141">
        <v>0</v>
      </c>
      <c r="J116" s="141">
        <v>0</v>
      </c>
      <c r="K116" s="141">
        <v>0</v>
      </c>
      <c r="L116" s="141">
        <v>0</v>
      </c>
      <c r="M116" s="141">
        <v>0</v>
      </c>
      <c r="N116" s="122">
        <v>0</v>
      </c>
      <c r="O116" s="141">
        <v>24.7</v>
      </c>
      <c r="P116" s="141">
        <v>0</v>
      </c>
      <c r="Q116" s="150"/>
      <c r="R116" s="110">
        <f t="shared" si="29"/>
        <v>24.7</v>
      </c>
      <c r="S116" s="110"/>
      <c r="T116" s="19"/>
      <c r="U116" s="13">
        <f t="shared" si="41"/>
        <v>0</v>
      </c>
      <c r="V116" s="18">
        <v>6.1</v>
      </c>
      <c r="X116" s="14">
        <f t="shared" si="30"/>
        <v>6.1</v>
      </c>
      <c r="Y116" s="14">
        <f t="shared" si="31"/>
        <v>6.1</v>
      </c>
    </row>
    <row r="117" spans="1:26" s="18" customFormat="1" ht="139.5" customHeight="1" x14ac:dyDescent="0.25">
      <c r="A117" s="82" t="s">
        <v>188</v>
      </c>
      <c r="B117" s="162" t="s">
        <v>434</v>
      </c>
      <c r="C117" s="123" t="s">
        <v>223</v>
      </c>
      <c r="D117" s="151" t="s">
        <v>285</v>
      </c>
      <c r="E117" s="126">
        <v>43839</v>
      </c>
      <c r="F117" s="126">
        <v>44196</v>
      </c>
      <c r="G117" s="126">
        <v>43839</v>
      </c>
      <c r="H117" s="126" t="s">
        <v>138</v>
      </c>
      <c r="I117" s="141">
        <v>0</v>
      </c>
      <c r="J117" s="141">
        <v>0</v>
      </c>
      <c r="K117" s="141">
        <v>0</v>
      </c>
      <c r="L117" s="141">
        <v>0</v>
      </c>
      <c r="M117" s="141">
        <v>0</v>
      </c>
      <c r="N117" s="122">
        <v>0</v>
      </c>
      <c r="O117" s="141">
        <v>167.5</v>
      </c>
      <c r="P117" s="141">
        <v>0</v>
      </c>
      <c r="Q117" s="150"/>
      <c r="R117" s="110">
        <f t="shared" si="29"/>
        <v>167.5</v>
      </c>
      <c r="S117" s="110"/>
      <c r="T117" s="19"/>
      <c r="U117" s="13">
        <f t="shared" si="41"/>
        <v>0</v>
      </c>
      <c r="V117" s="18">
        <f>V118+V119</f>
        <v>76.599999999999994</v>
      </c>
      <c r="X117" s="14">
        <f t="shared" si="30"/>
        <v>76.599999999999994</v>
      </c>
      <c r="Y117" s="14">
        <f t="shared" si="31"/>
        <v>76.599999999999994</v>
      </c>
    </row>
    <row r="118" spans="1:26" s="18" customFormat="1" x14ac:dyDescent="0.25">
      <c r="A118" s="82"/>
      <c r="B118" s="251" t="s">
        <v>228</v>
      </c>
      <c r="C118" s="251"/>
      <c r="D118" s="251"/>
      <c r="E118" s="251"/>
      <c r="F118" s="251"/>
      <c r="G118" s="251"/>
      <c r="H118" s="251"/>
      <c r="I118" s="141">
        <v>0</v>
      </c>
      <c r="J118" s="141">
        <v>0</v>
      </c>
      <c r="K118" s="141">
        <v>0</v>
      </c>
      <c r="L118" s="141">
        <v>0</v>
      </c>
      <c r="M118" s="141">
        <v>0</v>
      </c>
      <c r="N118" s="122">
        <v>0</v>
      </c>
      <c r="O118" s="141">
        <v>40.200000000000003</v>
      </c>
      <c r="P118" s="141">
        <v>0</v>
      </c>
      <c r="Q118" s="150"/>
      <c r="R118" s="110">
        <f t="shared" si="29"/>
        <v>40.200000000000003</v>
      </c>
      <c r="S118" s="110"/>
      <c r="T118" s="19"/>
      <c r="U118" s="13">
        <f t="shared" si="41"/>
        <v>0</v>
      </c>
      <c r="V118" s="18">
        <v>18.399999999999999</v>
      </c>
      <c r="X118" s="14">
        <f t="shared" si="30"/>
        <v>18.399999999999999</v>
      </c>
      <c r="Y118" s="14">
        <f t="shared" si="31"/>
        <v>18.399999999999999</v>
      </c>
    </row>
    <row r="119" spans="1:26" s="18" customFormat="1" x14ac:dyDescent="0.25">
      <c r="A119" s="82"/>
      <c r="B119" s="251" t="s">
        <v>226</v>
      </c>
      <c r="C119" s="251"/>
      <c r="D119" s="251"/>
      <c r="E119" s="251"/>
      <c r="F119" s="251"/>
      <c r="G119" s="251"/>
      <c r="H119" s="251"/>
      <c r="I119" s="141">
        <v>0</v>
      </c>
      <c r="J119" s="141">
        <v>0</v>
      </c>
      <c r="K119" s="141">
        <v>0</v>
      </c>
      <c r="L119" s="141">
        <v>0</v>
      </c>
      <c r="M119" s="141">
        <v>0</v>
      </c>
      <c r="N119" s="122">
        <v>0</v>
      </c>
      <c r="O119" s="141">
        <v>127.3</v>
      </c>
      <c r="P119" s="141">
        <v>0</v>
      </c>
      <c r="Q119" s="150"/>
      <c r="R119" s="110">
        <f t="shared" si="29"/>
        <v>127.3</v>
      </c>
      <c r="S119" s="110"/>
      <c r="T119" s="19"/>
      <c r="U119" s="13">
        <f t="shared" si="41"/>
        <v>0</v>
      </c>
      <c r="V119" s="18">
        <v>58.2</v>
      </c>
      <c r="X119" s="14">
        <f t="shared" si="30"/>
        <v>58.2</v>
      </c>
      <c r="Y119" s="14">
        <f t="shared" si="31"/>
        <v>58.2</v>
      </c>
    </row>
    <row r="120" spans="1:26" s="18" customFormat="1" ht="126" x14ac:dyDescent="0.25">
      <c r="A120" s="82" t="s">
        <v>204</v>
      </c>
      <c r="B120" s="162" t="s">
        <v>435</v>
      </c>
      <c r="C120" s="123" t="s">
        <v>223</v>
      </c>
      <c r="D120" s="151" t="s">
        <v>285</v>
      </c>
      <c r="E120" s="126">
        <v>43839</v>
      </c>
      <c r="F120" s="126">
        <v>44196</v>
      </c>
      <c r="G120" s="126">
        <v>43839</v>
      </c>
      <c r="H120" s="126" t="s">
        <v>138</v>
      </c>
      <c r="I120" s="150" t="s">
        <v>138</v>
      </c>
      <c r="J120" s="150" t="s">
        <v>138</v>
      </c>
      <c r="K120" s="150" t="s">
        <v>138</v>
      </c>
      <c r="L120" s="150" t="s">
        <v>138</v>
      </c>
      <c r="M120" s="150" t="s">
        <v>138</v>
      </c>
      <c r="N120" s="150" t="s">
        <v>138</v>
      </c>
      <c r="O120" s="141" t="s">
        <v>138</v>
      </c>
      <c r="P120" s="150" t="s">
        <v>138</v>
      </c>
      <c r="Q120" s="150" t="s">
        <v>138</v>
      </c>
      <c r="R120" s="110" t="e">
        <f t="shared" si="29"/>
        <v>#VALUE!</v>
      </c>
      <c r="S120" s="110"/>
      <c r="T120" s="19"/>
      <c r="U120" s="13" t="e">
        <f t="shared" si="41"/>
        <v>#VALUE!</v>
      </c>
      <c r="X120" s="14" t="e">
        <f t="shared" si="30"/>
        <v>#VALUE!</v>
      </c>
      <c r="Y120" s="14" t="e">
        <f t="shared" si="31"/>
        <v>#VALUE!</v>
      </c>
    </row>
    <row r="121" spans="1:26" s="18" customFormat="1" ht="39.75" customHeight="1" x14ac:dyDescent="0.25">
      <c r="A121" s="248" t="s">
        <v>231</v>
      </c>
      <c r="B121" s="248"/>
      <c r="C121" s="248"/>
      <c r="D121" s="248"/>
      <c r="E121" s="248"/>
      <c r="F121" s="248"/>
      <c r="G121" s="248"/>
      <c r="H121" s="248"/>
      <c r="I121" s="141">
        <f>I122+I123</f>
        <v>0</v>
      </c>
      <c r="J121" s="141">
        <f t="shared" ref="J121:P121" si="42">J122+J123</f>
        <v>0</v>
      </c>
      <c r="K121" s="141">
        <f t="shared" si="42"/>
        <v>0</v>
      </c>
      <c r="L121" s="141">
        <f t="shared" si="42"/>
        <v>57.3</v>
      </c>
      <c r="M121" s="141">
        <f t="shared" si="42"/>
        <v>57.3</v>
      </c>
      <c r="N121" s="141">
        <f t="shared" si="42"/>
        <v>0</v>
      </c>
      <c r="O121" s="141">
        <f t="shared" si="42"/>
        <v>492.7</v>
      </c>
      <c r="P121" s="141">
        <f t="shared" si="42"/>
        <v>0</v>
      </c>
      <c r="Q121" s="150"/>
      <c r="R121" s="110">
        <f t="shared" si="29"/>
        <v>550</v>
      </c>
      <c r="S121" s="110"/>
      <c r="T121" s="19"/>
      <c r="U121" s="13">
        <f t="shared" si="41"/>
        <v>57.3</v>
      </c>
      <c r="X121" s="14">
        <f t="shared" si="30"/>
        <v>-57.3</v>
      </c>
      <c r="Y121" s="14">
        <f t="shared" si="31"/>
        <v>-57.3</v>
      </c>
    </row>
    <row r="122" spans="1:26" s="18" customFormat="1" x14ac:dyDescent="0.25">
      <c r="A122" s="251" t="s">
        <v>228</v>
      </c>
      <c r="B122" s="251"/>
      <c r="C122" s="251"/>
      <c r="D122" s="251"/>
      <c r="E122" s="251"/>
      <c r="F122" s="251"/>
      <c r="G122" s="251"/>
      <c r="H122" s="251"/>
      <c r="I122" s="141">
        <f>I109+I112+I115+I118</f>
        <v>0</v>
      </c>
      <c r="J122" s="141">
        <f t="shared" ref="J122:P123" si="43">J109+J112+J115+J118</f>
        <v>0</v>
      </c>
      <c r="K122" s="141">
        <f t="shared" si="43"/>
        <v>0</v>
      </c>
      <c r="L122" s="141">
        <f t="shared" si="43"/>
        <v>13.8</v>
      </c>
      <c r="M122" s="141">
        <f t="shared" si="43"/>
        <v>13.8</v>
      </c>
      <c r="N122" s="141">
        <f t="shared" si="43"/>
        <v>0</v>
      </c>
      <c r="O122" s="141">
        <f t="shared" si="43"/>
        <v>118.2</v>
      </c>
      <c r="P122" s="141">
        <f t="shared" si="43"/>
        <v>0</v>
      </c>
      <c r="Q122" s="150"/>
      <c r="R122" s="110">
        <f t="shared" si="29"/>
        <v>132</v>
      </c>
      <c r="S122" s="110"/>
      <c r="T122" s="19"/>
      <c r="U122" s="13">
        <f t="shared" si="41"/>
        <v>13.8</v>
      </c>
      <c r="X122" s="14">
        <f t="shared" si="30"/>
        <v>-13.8</v>
      </c>
      <c r="Y122" s="14">
        <f t="shared" ref="Y122:Y126" si="44">X122-N122</f>
        <v>-13.8</v>
      </c>
    </row>
    <row r="123" spans="1:26" s="18" customFormat="1" x14ac:dyDescent="0.25">
      <c r="A123" s="251" t="s">
        <v>226</v>
      </c>
      <c r="B123" s="251"/>
      <c r="C123" s="251"/>
      <c r="D123" s="251"/>
      <c r="E123" s="251"/>
      <c r="F123" s="251"/>
      <c r="G123" s="251"/>
      <c r="H123" s="251"/>
      <c r="I123" s="141">
        <f>I110+I113+I116+I119</f>
        <v>0</v>
      </c>
      <c r="J123" s="141">
        <f t="shared" si="43"/>
        <v>0</v>
      </c>
      <c r="K123" s="141">
        <f t="shared" si="43"/>
        <v>0</v>
      </c>
      <c r="L123" s="141">
        <f t="shared" si="43"/>
        <v>43.5</v>
      </c>
      <c r="M123" s="141">
        <f t="shared" si="43"/>
        <v>43.5</v>
      </c>
      <c r="N123" s="141">
        <f t="shared" si="43"/>
        <v>0</v>
      </c>
      <c r="O123" s="141">
        <f t="shared" si="43"/>
        <v>374.5</v>
      </c>
      <c r="P123" s="141">
        <f t="shared" si="43"/>
        <v>0</v>
      </c>
      <c r="Q123" s="150"/>
      <c r="R123" s="110">
        <f t="shared" si="29"/>
        <v>418</v>
      </c>
      <c r="S123" s="110"/>
      <c r="T123" s="19"/>
      <c r="U123" s="13">
        <f t="shared" si="41"/>
        <v>43.5</v>
      </c>
      <c r="X123" s="14">
        <f t="shared" si="30"/>
        <v>-43.5</v>
      </c>
      <c r="Y123" s="14">
        <f t="shared" si="44"/>
        <v>-43.5</v>
      </c>
    </row>
    <row r="124" spans="1:26" s="18" customFormat="1" x14ac:dyDescent="0.25">
      <c r="A124" s="253" t="s">
        <v>232</v>
      </c>
      <c r="B124" s="253"/>
      <c r="C124" s="253"/>
      <c r="D124" s="253"/>
      <c r="E124" s="253"/>
      <c r="F124" s="253"/>
      <c r="G124" s="253"/>
      <c r="H124" s="253"/>
      <c r="I124" s="141">
        <f>I125+I126</f>
        <v>416144.6</v>
      </c>
      <c r="J124" s="141">
        <f>J125+J126</f>
        <v>426708.80000000005</v>
      </c>
      <c r="K124" s="141">
        <f t="shared" ref="K124:P124" si="45">K125+K126</f>
        <v>1033283.4</v>
      </c>
      <c r="L124" s="141">
        <f t="shared" si="45"/>
        <v>1184817.7</v>
      </c>
      <c r="M124" s="141">
        <f t="shared" si="45"/>
        <v>3437555.9000000004</v>
      </c>
      <c r="N124" s="141">
        <f t="shared" si="45"/>
        <v>3441500</v>
      </c>
      <c r="O124" s="141">
        <f t="shared" si="45"/>
        <v>1251952.0999999999</v>
      </c>
      <c r="P124" s="141">
        <f t="shared" si="45"/>
        <v>0</v>
      </c>
      <c r="Q124" s="150"/>
      <c r="R124" s="110">
        <f>I124+K124+M124+O124</f>
        <v>6138936</v>
      </c>
      <c r="S124" s="110">
        <f>J124+L124+N124+P124</f>
        <v>5053026.5</v>
      </c>
      <c r="T124" s="19">
        <f>J124+L124</f>
        <v>1611526.5</v>
      </c>
      <c r="U124" s="13">
        <f t="shared" si="41"/>
        <v>1611526.5</v>
      </c>
      <c r="X124" s="14">
        <f t="shared" si="30"/>
        <v>-1611526.5</v>
      </c>
      <c r="Y124" s="14">
        <f t="shared" si="44"/>
        <v>-5053026.5</v>
      </c>
    </row>
    <row r="125" spans="1:26" s="18" customFormat="1" x14ac:dyDescent="0.25">
      <c r="A125" s="254" t="s">
        <v>228</v>
      </c>
      <c r="B125" s="254"/>
      <c r="C125" s="254"/>
      <c r="D125" s="254"/>
      <c r="E125" s="254"/>
      <c r="F125" s="254"/>
      <c r="G125" s="254"/>
      <c r="H125" s="254"/>
      <c r="I125" s="141">
        <f t="shared" ref="I125" si="46">I122+I74+I105</f>
        <v>122376</v>
      </c>
      <c r="J125" s="141">
        <f t="shared" ref="J125:P125" si="47">J122+J74+J105</f>
        <v>125152.40000000001</v>
      </c>
      <c r="K125" s="141">
        <f>K122+K74+K105</f>
        <v>170484.6</v>
      </c>
      <c r="L125" s="141">
        <f t="shared" ref="L125:O125" si="48">L122+L74+L105</f>
        <v>173051.99999999997</v>
      </c>
      <c r="M125" s="141">
        <f t="shared" si="48"/>
        <v>227835.19999999995</v>
      </c>
      <c r="N125" s="141">
        <f t="shared" si="48"/>
        <v>228686.50000000003</v>
      </c>
      <c r="O125" s="141">
        <f t="shared" si="48"/>
        <v>331193.8</v>
      </c>
      <c r="P125" s="141">
        <f t="shared" si="47"/>
        <v>0</v>
      </c>
      <c r="Q125" s="150"/>
      <c r="R125" s="110">
        <f>I125+K125+M125+O125</f>
        <v>851889.59999999986</v>
      </c>
      <c r="S125" s="110">
        <f>J125+L125+N125+P125</f>
        <v>526890.9</v>
      </c>
      <c r="T125" s="19">
        <f>J125+L125</f>
        <v>298204.39999999997</v>
      </c>
      <c r="U125" s="13">
        <f t="shared" si="41"/>
        <v>298204.39999999997</v>
      </c>
      <c r="X125" s="14">
        <f t="shared" si="30"/>
        <v>-298204.39999999997</v>
      </c>
      <c r="Y125" s="14">
        <f t="shared" si="44"/>
        <v>-526890.9</v>
      </c>
    </row>
    <row r="126" spans="1:26" s="18" customFormat="1" x14ac:dyDescent="0.25">
      <c r="A126" s="254" t="s">
        <v>226</v>
      </c>
      <c r="B126" s="254"/>
      <c r="C126" s="254"/>
      <c r="D126" s="254"/>
      <c r="E126" s="254"/>
      <c r="F126" s="254"/>
      <c r="G126" s="254"/>
      <c r="H126" s="254"/>
      <c r="I126" s="141">
        <f t="shared" ref="I126" si="49">I123+I75+I106</f>
        <v>293768.59999999998</v>
      </c>
      <c r="J126" s="141">
        <f t="shared" ref="J126:P126" si="50">J123+J75+J106</f>
        <v>301556.40000000002</v>
      </c>
      <c r="K126" s="141">
        <f t="shared" si="50"/>
        <v>862798.8</v>
      </c>
      <c r="L126" s="141">
        <f t="shared" ref="L126:O126" si="51">L123+L75+L106</f>
        <v>1011765.7000000001</v>
      </c>
      <c r="M126" s="141">
        <f t="shared" si="51"/>
        <v>3209720.7</v>
      </c>
      <c r="N126" s="141">
        <f t="shared" si="51"/>
        <v>3212813.5</v>
      </c>
      <c r="O126" s="141">
        <f t="shared" si="51"/>
        <v>920758.29999999993</v>
      </c>
      <c r="P126" s="141">
        <f t="shared" si="50"/>
        <v>0</v>
      </c>
      <c r="Q126" s="150"/>
      <c r="R126" s="110">
        <f t="shared" si="29"/>
        <v>5287046.3999999994</v>
      </c>
      <c r="S126" s="110">
        <f t="shared" si="29"/>
        <v>4526135.5999999996</v>
      </c>
      <c r="T126" s="19">
        <f>J126+L126</f>
        <v>1313322.1000000001</v>
      </c>
      <c r="U126" s="13">
        <f t="shared" si="41"/>
        <v>1313322.1000000001</v>
      </c>
      <c r="X126" s="14">
        <f t="shared" si="30"/>
        <v>-1313322.1000000001</v>
      </c>
      <c r="Y126" s="14">
        <f t="shared" si="44"/>
        <v>-4526135.5999999996</v>
      </c>
    </row>
    <row r="127" spans="1:26" s="23" customFormat="1" ht="96.6" customHeight="1" x14ac:dyDescent="0.3">
      <c r="A127" s="230" t="s">
        <v>362</v>
      </c>
      <c r="B127" s="230"/>
      <c r="C127" s="230"/>
      <c r="D127" s="230"/>
      <c r="E127" s="230"/>
      <c r="F127" s="21"/>
      <c r="G127" s="13"/>
      <c r="H127" s="21"/>
      <c r="I127" s="166"/>
      <c r="J127" s="167"/>
      <c r="K127" s="35"/>
      <c r="L127" s="35"/>
      <c r="M127" s="186"/>
      <c r="N127" s="168"/>
      <c r="O127" s="187"/>
      <c r="P127" s="169"/>
      <c r="Q127" s="165" t="s">
        <v>363</v>
      </c>
      <c r="R127" s="13"/>
      <c r="S127" s="63"/>
      <c r="T127" s="22"/>
      <c r="V127" s="22"/>
      <c r="W127" s="13"/>
      <c r="X127" s="13"/>
      <c r="Z127" s="13"/>
    </row>
    <row r="128" spans="1:26" s="23" customFormat="1" ht="24.75" customHeight="1" x14ac:dyDescent="0.25">
      <c r="B128" s="25"/>
      <c r="C128" s="25"/>
      <c r="D128" s="25"/>
      <c r="E128" s="26"/>
      <c r="G128" s="27"/>
      <c r="H128" s="28"/>
      <c r="I128" s="33"/>
      <c r="J128" s="35"/>
      <c r="K128" s="35"/>
      <c r="L128" s="35"/>
      <c r="M128" s="74"/>
      <c r="N128" s="170"/>
      <c r="O128" s="74"/>
      <c r="P128" s="74"/>
      <c r="S128" s="36"/>
      <c r="W128" s="13"/>
      <c r="X128" s="13"/>
      <c r="Z128" s="13"/>
    </row>
    <row r="129" spans="1:31" s="23" customFormat="1" ht="36" customHeight="1" x14ac:dyDescent="0.25">
      <c r="A129" s="252" t="s">
        <v>411</v>
      </c>
      <c r="B129" s="252"/>
      <c r="C129" s="26"/>
      <c r="D129" s="26"/>
      <c r="E129" s="26"/>
      <c r="F129" s="26"/>
      <c r="G129" s="26"/>
      <c r="H129" s="26"/>
      <c r="I129" s="66"/>
      <c r="J129" s="66"/>
      <c r="K129" s="66"/>
      <c r="L129" s="66"/>
      <c r="M129" s="66"/>
      <c r="N129" s="66"/>
      <c r="O129" s="66"/>
      <c r="P129" s="66"/>
      <c r="Q129" s="26"/>
      <c r="R129" s="26"/>
      <c r="S129" s="26"/>
      <c r="T129" s="26"/>
      <c r="U129" s="26"/>
      <c r="V129" s="26"/>
      <c r="W129" s="26"/>
      <c r="X129" s="26"/>
      <c r="Y129" s="26"/>
    </row>
    <row r="130" spans="1:31" s="30" customFormat="1" ht="284.25" customHeight="1" x14ac:dyDescent="0.25">
      <c r="A130" s="34"/>
      <c r="B130" s="13"/>
      <c r="C130" s="13"/>
      <c r="D130" s="13"/>
      <c r="E130" s="13"/>
      <c r="F130" s="29"/>
      <c r="I130" s="171"/>
      <c r="J130" s="171"/>
      <c r="K130" s="171"/>
      <c r="L130" s="171"/>
      <c r="M130" s="171"/>
      <c r="N130" s="171"/>
      <c r="O130" s="171"/>
      <c r="P130" s="171"/>
      <c r="AB130" s="31"/>
      <c r="AC130" s="31"/>
      <c r="AD130" s="31"/>
      <c r="AE130" s="31"/>
    </row>
    <row r="131" spans="1:31" s="30" customFormat="1" ht="17.45" customHeight="1" x14ac:dyDescent="0.25">
      <c r="A131" s="54"/>
      <c r="B131" s="13"/>
      <c r="C131" s="13"/>
      <c r="D131" s="13"/>
      <c r="E131" s="13"/>
      <c r="F131" s="29"/>
      <c r="I131" s="171"/>
      <c r="J131" s="171"/>
      <c r="K131" s="171"/>
      <c r="L131" s="171"/>
      <c r="M131" s="171"/>
      <c r="N131" s="171"/>
      <c r="O131" s="171"/>
      <c r="P131" s="171"/>
      <c r="AB131" s="31"/>
      <c r="AC131" s="31"/>
      <c r="AD131" s="31"/>
      <c r="AE131" s="31" t="s">
        <v>233</v>
      </c>
    </row>
    <row r="132" spans="1:31" x14ac:dyDescent="0.25">
      <c r="A132" s="26"/>
    </row>
    <row r="133" spans="1:31" x14ac:dyDescent="0.25">
      <c r="A133" s="54"/>
    </row>
  </sheetData>
  <autoFilter ref="A10:AE128"/>
  <mergeCells count="42">
    <mergeCell ref="A129:B129"/>
    <mergeCell ref="A122:H122"/>
    <mergeCell ref="A123:H123"/>
    <mergeCell ref="A124:H124"/>
    <mergeCell ref="A125:H125"/>
    <mergeCell ref="A126:H126"/>
    <mergeCell ref="A127:E127"/>
    <mergeCell ref="A121:H121"/>
    <mergeCell ref="A74:H74"/>
    <mergeCell ref="A75:H75"/>
    <mergeCell ref="A104:H104"/>
    <mergeCell ref="B109:H109"/>
    <mergeCell ref="B110:H110"/>
    <mergeCell ref="B112:H112"/>
    <mergeCell ref="B113:H113"/>
    <mergeCell ref="B115:H115"/>
    <mergeCell ref="B116:H116"/>
    <mergeCell ref="B118:H118"/>
    <mergeCell ref="B119:H119"/>
    <mergeCell ref="A105:H105"/>
    <mergeCell ref="A106:H106"/>
    <mergeCell ref="A73:H73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5:Q5"/>
    <mergeCell ref="A1:Q1"/>
    <mergeCell ref="A2:Q2"/>
    <mergeCell ref="A3:Q3"/>
    <mergeCell ref="A4:Q4"/>
  </mergeCells>
  <pageMargins left="0.39370078740157483" right="0.39370078740157483" top="1.1811023622047245" bottom="0.39370078740157483" header="0" footer="0"/>
  <pageSetup paperSize="9" scale="51" fitToHeight="0" orientation="landscape" r:id="rId1"/>
  <headerFooter>
    <oddFooter>&amp;C &amp;P</oddFooter>
  </headerFooter>
  <rowBreaks count="2" manualBreakCount="2">
    <brk id="25" max="16" man="1"/>
    <brk id="2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Салатгереева Каралина Сайгитбаталовна</cp:lastModifiedBy>
  <cp:lastPrinted>2020-10-28T07:14:40Z</cp:lastPrinted>
  <dcterms:created xsi:type="dcterms:W3CDTF">2010-04-08T05:43:02Z</dcterms:created>
  <dcterms:modified xsi:type="dcterms:W3CDTF">2020-10-29T10:14:50Z</dcterms:modified>
</cp:coreProperties>
</file>