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12" windowWidth="19032" windowHeight="11112"/>
  </bookViews>
  <sheets>
    <sheet name="Финансирование" sheetId="1" r:id="rId1"/>
    <sheet name="План реализации" sheetId="3" r:id="rId2"/>
    <sheet name="Показатели, критерии" sheetId="2" r:id="rId3"/>
  </sheets>
  <definedNames>
    <definedName name="_xlnm._FilterDatabase" localSheetId="1" hidden="1">'План реализации'!$A$8:$Q$217</definedName>
    <definedName name="Z_0065ACA7_7045_4911_9E30_39E7152218B1_.wvu.Cols" localSheetId="1" hidden="1">'План реализации'!$J:$J</definedName>
    <definedName name="Z_0065ACA7_7045_4911_9E30_39E7152218B1_.wvu.FilterData" localSheetId="1" hidden="1">'План реализации'!$A$8:$Q$217</definedName>
    <definedName name="Z_0065ACA7_7045_4911_9E30_39E7152218B1_.wvu.PrintArea" localSheetId="1" hidden="1">'План реализации'!$A$1:$Q$179</definedName>
    <definedName name="Z_0986E3D3_5D66_471B_8EC2_413E8843883F_.wvu.FilterData" localSheetId="1" hidden="1">'План реализации'!$A$8:$Q$168</definedName>
    <definedName name="Z_0AB26AA3_87CC_4774_819A_67CBDAD2BC19_.wvu.Cols" localSheetId="1" hidden="1">'План реализации'!$J:$J</definedName>
    <definedName name="Z_0AB26AA3_87CC_4774_819A_67CBDAD2BC19_.wvu.FilterData" localSheetId="1" hidden="1">'План реализации'!$A$8:$Q$168</definedName>
    <definedName name="Z_0AB26AA3_87CC_4774_819A_67CBDAD2BC19_.wvu.PrintArea" localSheetId="1" hidden="1">'План реализации'!$A$1:$T$177</definedName>
    <definedName name="Z_3ECA3F3A_D8F9_4788_981D_BAF3F0F7EB24_.wvu.Cols" localSheetId="1" hidden="1">'План реализации'!$J:$J</definedName>
    <definedName name="Z_3ECA3F3A_D8F9_4788_981D_BAF3F0F7EB24_.wvu.FilterData" localSheetId="1" hidden="1">'План реализации'!$A$8:$Q$217</definedName>
    <definedName name="Z_3ECA3F3A_D8F9_4788_981D_BAF3F0F7EB24_.wvu.PrintArea" localSheetId="1" hidden="1">'План реализации'!$A$1:$Q$178</definedName>
    <definedName name="Z_673A5D64_760A_4ED4_8D40_9E2EFDA1DA7E_.wvu.FilterData" localSheetId="1" hidden="1">'План реализации'!$A$8:$Q$217</definedName>
    <definedName name="Z_6753824E_79C8_470A_9190_6599F01015C2_.wvu.FilterData" localSheetId="1" hidden="1">'План реализации'!$A$8:$Q$217</definedName>
    <definedName name="Z_6DD8E53B_641B_43C6_8972_0CCBB60115B2_.wvu.FilterData" localSheetId="1" hidden="1">'План реализации'!$A$8:$Q$168</definedName>
    <definedName name="Z_6DD8E53B_641B_43C6_8972_0CCBB60115B2_.wvu.PrintArea" localSheetId="1" hidden="1">'План реализации'!$A$1:$T$177</definedName>
    <definedName name="Z_6DD8E53B_641B_43C6_8972_0CCBB60115B2_.wvu.Rows" localSheetId="1" hidden="1">'План реализации'!$18:$18,'План реализации'!#REF!,'План реализации'!#REF!</definedName>
    <definedName name="Z_91EC6DD9_3EC1_4B56_B5D3_85C5F4F07B57_.wvu.FilterData" localSheetId="1" hidden="1">'План реализации'!$A$8:$Q$168</definedName>
    <definedName name="Z_91EC6DD9_3EC1_4B56_B5D3_85C5F4F07B57_.wvu.PrintArea" localSheetId="1" hidden="1">'План реализации'!$A$1:$T$177</definedName>
    <definedName name="Z_91EC6DD9_3EC1_4B56_B5D3_85C5F4F07B57_.wvu.Rows" localSheetId="1" hidden="1">'План реализации'!$18:$18,'План реализации'!#REF!,'План реализации'!#REF!</definedName>
    <definedName name="Z_C261A833_46B4_49FF_B4A1_8A434BD143AF_.wvu.FilterData" localSheetId="1" hidden="1">'План реализации'!$A$8:$Q$168</definedName>
    <definedName name="Z_CD0AB505_8ABD_43EB_A8FC_4AF196481713_.wvu.FilterData" localSheetId="1" hidden="1">'План реализации'!$A$8:$Q$168</definedName>
    <definedName name="Z_CD0AB505_8ABD_43EB_A8FC_4AF196481713_.wvu.PrintArea" localSheetId="1" hidden="1">'План реализации'!$A$1:$T$177</definedName>
    <definedName name="Z_CD0AB505_8ABD_43EB_A8FC_4AF196481713_.wvu.Rows" localSheetId="1" hidden="1">'План реализации'!$18:$18,'План реализации'!#REF!,'План реализации'!#REF!</definedName>
    <definedName name="Z_D72EDB33_7A18_49DE_83F5_011425BEF6EA_.wvu.Cols" localSheetId="1" hidden="1">'План реализации'!$J:$J</definedName>
    <definedName name="Z_D72EDB33_7A18_49DE_83F5_011425BEF6EA_.wvu.FilterData" localSheetId="1" hidden="1">'План реализации'!$A$8:$Q$217</definedName>
    <definedName name="Z_D72EDB33_7A18_49DE_83F5_011425BEF6EA_.wvu.PrintArea" localSheetId="1" hidden="1">'План реализации'!$A$1:$Q$179</definedName>
    <definedName name="Z_E2BB839E_868A_4208_B463_C84D0FCE0767_.wvu.FilterData" localSheetId="1" hidden="1">'План реализации'!$A$8:$Q$168</definedName>
    <definedName name="_xlnm.Print_Titles" localSheetId="2">'Показатели, критерии'!$10:$10</definedName>
    <definedName name="_xlnm.Print_Titles" localSheetId="0">Финансирование!$7:$9</definedName>
    <definedName name="_xlnm.Print_Area" localSheetId="1">'План реализации'!$A$1:$S$179</definedName>
    <definedName name="_xlnm.Print_Area" localSheetId="2">'Показатели, критерии'!$A$1:$G$26</definedName>
    <definedName name="_xlnm.Print_Area" localSheetId="0">Финансирование!$A$1:$AB$135</definedName>
  </definedNames>
  <calcPr calcId="145621"/>
</workbook>
</file>

<file path=xl/calcChain.xml><?xml version="1.0" encoding="utf-8"?>
<calcChain xmlns="http://schemas.openxmlformats.org/spreadsheetml/2006/main">
  <c r="K19" i="3" l="1"/>
  <c r="Q123" i="3" l="1"/>
  <c r="Q118" i="3" s="1"/>
  <c r="O123" i="3"/>
  <c r="O118" i="3" s="1"/>
  <c r="M123" i="3"/>
  <c r="M118" i="3" s="1"/>
  <c r="Q113" i="3"/>
  <c r="O113" i="3"/>
  <c r="M113" i="3"/>
  <c r="Q20" i="1"/>
  <c r="L156" i="3"/>
  <c r="Q86" i="1"/>
  <c r="K175" i="3"/>
  <c r="O175" i="3"/>
  <c r="Q11" i="3"/>
  <c r="Q12" i="3"/>
  <c r="Q13" i="3"/>
  <c r="Q18" i="3"/>
  <c r="L19" i="3"/>
  <c r="Q19" i="3"/>
  <c r="Q20" i="3"/>
  <c r="K25" i="3"/>
  <c r="L25" i="3"/>
  <c r="Q25" i="3"/>
  <c r="K29" i="3"/>
  <c r="L29" i="3"/>
  <c r="M29" i="3"/>
  <c r="O29" i="3"/>
  <c r="Q29" i="3"/>
  <c r="Q31" i="3"/>
  <c r="Q32" i="3"/>
  <c r="Q33" i="3"/>
  <c r="Q35" i="3"/>
  <c r="Q36" i="3"/>
  <c r="Q37" i="3"/>
  <c r="Q38" i="3"/>
  <c r="Q42" i="3"/>
  <c r="Q44" i="3"/>
  <c r="Q45" i="3"/>
  <c r="Q48" i="3"/>
  <c r="M56" i="3"/>
  <c r="O56" i="3"/>
  <c r="Q56" i="3"/>
  <c r="M57" i="3"/>
  <c r="O57" i="3"/>
  <c r="Q57" i="3"/>
  <c r="K123" i="3"/>
  <c r="K113" i="3"/>
  <c r="L72" i="3"/>
  <c r="L148" i="3" l="1"/>
  <c r="L145" i="3"/>
  <c r="L60" i="3"/>
  <c r="L9" i="3" s="1"/>
  <c r="L111" i="3" l="1"/>
  <c r="L172" i="3" s="1"/>
  <c r="Q171" i="3"/>
  <c r="O171" i="3"/>
  <c r="M171" i="3"/>
  <c r="K171" i="3"/>
  <c r="W168" i="3"/>
  <c r="X168" i="3" s="1"/>
  <c r="J167" i="3"/>
  <c r="O162" i="3"/>
  <c r="M162" i="3"/>
  <c r="Q158" i="3"/>
  <c r="Q156" i="3"/>
  <c r="K156" i="3"/>
  <c r="Q155" i="3"/>
  <c r="K155" i="3"/>
  <c r="Q154" i="3"/>
  <c r="Q153" i="3"/>
  <c r="Q152" i="3"/>
  <c r="K152" i="3"/>
  <c r="Q151" i="3"/>
  <c r="Q150" i="3"/>
  <c r="K150" i="3"/>
  <c r="Q148" i="3"/>
  <c r="K148" i="3"/>
  <c r="Q146" i="3"/>
  <c r="O146" i="3"/>
  <c r="M146" i="3"/>
  <c r="K146" i="3"/>
  <c r="Q145" i="3"/>
  <c r="O145" i="3"/>
  <c r="M145" i="3"/>
  <c r="K145" i="3"/>
  <c r="Q144" i="3"/>
  <c r="K162" i="3"/>
  <c r="Q136" i="3"/>
  <c r="Q135" i="3"/>
  <c r="O135" i="3"/>
  <c r="M135" i="3"/>
  <c r="Q134" i="3"/>
  <c r="O134" i="3"/>
  <c r="M134" i="3"/>
  <c r="Q133" i="3"/>
  <c r="O133" i="3"/>
  <c r="M133" i="3"/>
  <c r="Q132" i="3"/>
  <c r="J123" i="3"/>
  <c r="J118" i="3" s="1"/>
  <c r="K118" i="3"/>
  <c r="J113" i="3"/>
  <c r="J111" i="3" s="1"/>
  <c r="Q110" i="3"/>
  <c r="Q175" i="3" s="1"/>
  <c r="M110" i="3"/>
  <c r="M175" i="3" s="1"/>
  <c r="M99" i="3"/>
  <c r="O96" i="3"/>
  <c r="M90" i="3"/>
  <c r="AC85" i="3"/>
  <c r="AC84" i="3"/>
  <c r="AC83" i="3"/>
  <c r="Q81" i="3"/>
  <c r="Q77" i="3" s="1"/>
  <c r="O81" i="3"/>
  <c r="M81" i="3"/>
  <c r="M77" i="3" s="1"/>
  <c r="K81" i="3"/>
  <c r="K77" i="3" s="1"/>
  <c r="J81" i="3"/>
  <c r="J77" i="3" s="1"/>
  <c r="W80" i="3"/>
  <c r="X80" i="3" s="1"/>
  <c r="W79" i="3"/>
  <c r="X79" i="3" s="1"/>
  <c r="O77" i="3"/>
  <c r="Q73" i="3"/>
  <c r="O73" i="3"/>
  <c r="M73" i="3"/>
  <c r="J73" i="3"/>
  <c r="J69" i="3"/>
  <c r="Q60" i="3"/>
  <c r="O60" i="3"/>
  <c r="M60" i="3"/>
  <c r="K60" i="3"/>
  <c r="K9" i="3" s="1"/>
  <c r="Q58" i="3"/>
  <c r="Q9" i="3" s="1"/>
  <c r="O58" i="3"/>
  <c r="O9" i="3" s="1"/>
  <c r="M58" i="3"/>
  <c r="M9" i="3" s="1"/>
  <c r="X30" i="3"/>
  <c r="V30" i="3"/>
  <c r="V29" i="3"/>
  <c r="K111" i="3" l="1"/>
  <c r="Q111" i="3"/>
  <c r="O111" i="3"/>
  <c r="J108" i="3"/>
  <c r="M111" i="3"/>
  <c r="W78" i="3"/>
  <c r="O71" i="3"/>
  <c r="O174" i="3" s="1"/>
  <c r="X29" i="3"/>
  <c r="M71" i="3" s="1"/>
  <c r="M174" i="3" s="1"/>
  <c r="O72" i="3"/>
  <c r="O172" i="3" s="1"/>
  <c r="Q162" i="3"/>
  <c r="M109" i="3"/>
  <c r="M108" i="3" s="1"/>
  <c r="M72" i="3"/>
  <c r="Q109" i="3"/>
  <c r="Q108" i="3" s="1"/>
  <c r="Q72" i="3"/>
  <c r="Q172" i="3" s="1"/>
  <c r="K109" i="3"/>
  <c r="K108" i="3" s="1"/>
  <c r="K72" i="3"/>
  <c r="K71" i="3"/>
  <c r="K174" i="3" s="1"/>
  <c r="O161" i="3"/>
  <c r="O160" i="3" s="1"/>
  <c r="O109" i="3"/>
  <c r="O108" i="3" s="1"/>
  <c r="M161" i="3"/>
  <c r="M160" i="3" s="1"/>
  <c r="K161" i="3"/>
  <c r="K160" i="3" s="1"/>
  <c r="W167" i="3"/>
  <c r="X167" i="3" s="1"/>
  <c r="Q161" i="3"/>
  <c r="Q71" i="3"/>
  <c r="Q174" i="3" s="1"/>
  <c r="U29" i="3"/>
  <c r="K70" i="3" s="1"/>
  <c r="K173" i="3" s="1"/>
  <c r="W29" i="3"/>
  <c r="M70" i="3" s="1"/>
  <c r="U30" i="3"/>
  <c r="O70" i="3" s="1"/>
  <c r="W30" i="3"/>
  <c r="Q70" i="3" s="1"/>
  <c r="Z88" i="1"/>
  <c r="Y98" i="1"/>
  <c r="K172" i="3" l="1"/>
  <c r="M172" i="3"/>
  <c r="O173" i="3"/>
  <c r="Q160" i="3"/>
  <c r="Q173" i="3"/>
  <c r="M173" i="3"/>
  <c r="Q69" i="3"/>
  <c r="O69" i="3"/>
  <c r="K69" i="3"/>
  <c r="M69" i="3"/>
  <c r="Y72" i="1"/>
  <c r="L86" i="1"/>
  <c r="J86" i="1"/>
  <c r="L16" i="1" l="1"/>
  <c r="O110" i="1" l="1"/>
  <c r="Q93" i="1" l="1"/>
  <c r="L72" i="1" l="1"/>
  <c r="L71" i="1" s="1"/>
  <c r="L84" i="1"/>
  <c r="L79" i="1"/>
  <c r="L78" i="1"/>
  <c r="L77" i="1"/>
  <c r="Q47" i="1"/>
  <c r="Q50" i="1"/>
  <c r="O30" i="1"/>
  <c r="O16" i="1" s="1"/>
  <c r="P16" i="1"/>
  <c r="Q16" i="1" l="1"/>
  <c r="L68" i="1"/>
  <c r="L67" i="1" s="1"/>
  <c r="L63" i="1" s="1"/>
  <c r="I63" i="1"/>
  <c r="F71" i="1"/>
  <c r="F67" i="1" s="1"/>
  <c r="F63" i="1" s="1"/>
  <c r="Q72" i="1" l="1"/>
  <c r="Q68" i="1"/>
  <c r="T16" i="1" l="1"/>
  <c r="S16" i="1"/>
  <c r="R16" i="1"/>
  <c r="N16" i="1"/>
  <c r="M16" i="1"/>
  <c r="K16" i="1"/>
  <c r="I16" i="1"/>
  <c r="H16" i="1"/>
  <c r="G16" i="1"/>
  <c r="F16" i="1"/>
  <c r="E16" i="1"/>
  <c r="F12" i="1"/>
  <c r="G12" i="1"/>
  <c r="H12" i="1"/>
  <c r="I12" i="1"/>
  <c r="J12" i="1"/>
  <c r="K12" i="1"/>
  <c r="L12" i="1"/>
  <c r="L11" i="1" s="1"/>
  <c r="M12" i="1"/>
  <c r="N12" i="1"/>
  <c r="O12" i="1"/>
  <c r="P12" i="1"/>
  <c r="Q12" i="1"/>
  <c r="R12" i="1"/>
  <c r="S12" i="1"/>
  <c r="T12" i="1"/>
  <c r="E12" i="1"/>
  <c r="E86" i="1" l="1"/>
  <c r="G86" i="1"/>
  <c r="H86" i="1"/>
  <c r="I86" i="1"/>
  <c r="I11" i="1" s="1"/>
  <c r="K86" i="1"/>
  <c r="M86" i="1"/>
  <c r="N86" i="1"/>
  <c r="O86" i="1"/>
  <c r="P86" i="1"/>
  <c r="R86" i="1"/>
  <c r="S86" i="1"/>
  <c r="T86" i="1"/>
  <c r="F86" i="1"/>
  <c r="F11" i="1" s="1"/>
  <c r="E63" i="1"/>
  <c r="G63" i="1"/>
  <c r="H63" i="1"/>
  <c r="J63" i="1"/>
  <c r="K63" i="1"/>
  <c r="M63" i="1"/>
  <c r="N63" i="1"/>
  <c r="O63" i="1"/>
  <c r="P63" i="1"/>
  <c r="R63" i="1"/>
  <c r="S63" i="1"/>
  <c r="T63" i="1"/>
  <c r="L93" i="1"/>
  <c r="Q67" i="1"/>
  <c r="Q63" i="1" s="1"/>
  <c r="Q11" i="1" s="1"/>
  <c r="Q65" i="1"/>
  <c r="J30" i="1"/>
  <c r="J16" i="1" s="1"/>
  <c r="G11" i="1" l="1"/>
  <c r="O11" i="1"/>
  <c r="M11" i="1"/>
  <c r="J11" i="1"/>
  <c r="S11" i="1"/>
  <c r="P11" i="1"/>
  <c r="N11" i="1"/>
  <c r="K11" i="1"/>
  <c r="H11" i="1"/>
  <c r="E11" i="1"/>
  <c r="T11" i="1"/>
  <c r="R11" i="1"/>
</calcChain>
</file>

<file path=xl/sharedStrings.xml><?xml version="1.0" encoding="utf-8"?>
<sst xmlns="http://schemas.openxmlformats.org/spreadsheetml/2006/main" count="1392" uniqueCount="526">
  <si>
    <t>краевой бюджет</t>
  </si>
  <si>
    <t>местный бюджет</t>
  </si>
  <si>
    <t xml:space="preserve">ОТЧЕТ </t>
  </si>
  <si>
    <t>___________________</t>
  </si>
  <si>
    <t>___________________________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</si>
  <si>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</si>
  <si>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</si>
  <si>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</si>
  <si>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</si>
  <si>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</si>
  <si>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</si>
  <si>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</si>
  <si>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</si>
  <si>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</si>
  <si>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 xml:space="preserve">           (И.О. Фамилия)      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</si>
  <si>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</si>
  <si>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</si>
  <si>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</si>
  <si>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</si>
  <si>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</si>
  <si>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</si>
  <si>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</si>
  <si>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</si>
  <si>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</si>
  <si>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</si>
  <si>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</si>
  <si>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</si>
  <si>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Всего
по основным мероприятиям государственной программы, в том числе: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</si>
  <si>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</si>
  <si>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</si>
  <si>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</si>
  <si>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ВСЕГО 
по государственной программе, в том числе: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</si>
  <si>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</si>
  <si>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</si>
  <si>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</si>
  <si>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Финансовое обеспечение деятельности министерства труда и социального развития  Краснодарского края и управлений социальной защиты населения министерства  труда и социального развития Краснодарского края в муниципальных образованиях Краснодарского края</t>
  </si>
  <si>
    <t>1.</t>
  </si>
  <si>
    <t xml:space="preserve">Пенсии за выслугу лет лицам, замещавшим должности государственной гражданской службы Краснодарского края </t>
  </si>
  <si>
    <t>830 1001 0310141280</t>
  </si>
  <si>
    <t>Пособия отдельным категориям работников Краснодарского края в соответствии с Законом Краснодарского края от  21 июля 2005 года                                                          № 921-КЗ "О государственной поддержке отдельных категорий работников Краснодарского края"</t>
  </si>
  <si>
    <t>Дополнительное материальное обеспечение лиц, замещавших государственные должности Краснодарского края</t>
  </si>
  <si>
    <t>Ежемесячные денежные выплаты ветеранам труда и ветеранам военной службы, достигшим возраста, дающего право на страховую пенсию по старости в соответствии с Федеральным законом "О страхованых пенсиях", труженикам тыла, жертвам политических репрессий- жителям Краснодарского края</t>
  </si>
  <si>
    <t>Предоставление ежегодной денежной выплаты  лицам,  подвергшихся радиационным воздействиям, и их семьям в соответствии с Законом Краснодарского края от 27 марта 2007 года № 1209-КЗ "О ежегодной денежной выплате отдельным категориям граждан, подвергшихся радиационным воздействиям, и их семьям" в соответствии с Законом Краснодарского края от  27 марта 2007 года №1209-КЗ "О ежегодной денежной выплате отдельным категориям граждан, подвергшихся радиационным  воздействиям, и их семьям"</t>
  </si>
  <si>
    <t>Предоставление гражданам государственных единовременных пособий и ежемесячных денежных компенсаций  при возникновении поствакцинальных осложнений</t>
  </si>
  <si>
    <t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 процентов от совокупного дохода семьи</t>
  </si>
  <si>
    <t>Предоставление мер социальной поддержки по оплате жилищно - коммунальных услуг отдельным категориям граждан в соответствии с федеральными законами от 24 ноября 1995 года № 181-ФЗ «О социальной защите инвалидов в Российской Федерации»; законами Российской Федерации от 12 января 1995 года № 5-ФЗ  «О ветеранах»;  от              15 мая 1991 года № 1244-1 «О социальной защите граждан, подвергшихся воздействию радиации вследствие катастрофы на Чернобыльской АЭС»</t>
  </si>
  <si>
    <t>Предоставления мер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            28 декабря 2015 года № 3316-КЗ «О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доме»</t>
  </si>
  <si>
    <t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 в соответствии с Законом Краснодарского края от 5 ноября 2002 года            № 537-КЗ "О ежемесячном пособи вдовам 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</si>
  <si>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(служебных обязанностей) в соответствии с Законом Краснодарского края от 7 июня 2004 года            № 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</si>
  <si>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>Социальная поддержка инвалидов боевых действий и членов семьи военнослужащих, погибщих при исполнении воинского долга</t>
  </si>
  <si>
    <t xml:space="preserve">Предоставление компенсации расходов адвокату, оказывающему юридическую помощь бесплатно отдельным категориям граждан в Краснодарском края  (в труднодоступных и малонаселенных местностях)
</t>
  </si>
  <si>
    <t>Предоставление 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            29 апреля 2008 года № 1457-КЗ "О компенсации расходов, связанных с эксплуатацией транспортных средств, некоторым категориям жителей Краснодарского края"</t>
  </si>
  <si>
    <t>Выплата гражданам пожилого возраста (достигшим  возраста, установленного законодательством Российской Федерации для назначения пенсии по старости) и одиноким гражданам, страдающим хроническими заболеваниями, неспособным удовлетворятть свои  основные жизненые потребности, получающим медико-социальную помощь на дому, в учреждениях  государственной и муниципальной систем здравоохранения, в учреждениях системы социальной защиты населения, в целях льгготоного обеспечения протезами, ортопедическими корригирующими изделиями, слуховыми аппаратами</t>
  </si>
  <si>
    <t>Предоставление инвалидам (в том числе детям-инвалидам), 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 обязательном страховании гражданской ответственности владельцев транспортных средств»</t>
  </si>
  <si>
    <t>Предоставление  лицу, взявшему на себя 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</si>
  <si>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>Возмещение лицу, взявшему на себя обязательства осуществлять погребение, затрат, связанных с погребением умерших реабилитированных лиц</t>
  </si>
  <si>
    <t>Предоставление единовременной денежной выплаты лицам, награжденным орденом «За выдающийся вклад в развитие кубанского казачества»</t>
  </si>
  <si>
    <t>Предоставление ежегодной денежной выплаты лицам, награжденных нагрудным знаком «Почетный донор России», «Почетный донор СССР» в соответствии с Федеральным законом от 20 июля 2012 года  № 125 -ФЗ "О донорстве крови и ее компонентов"</t>
  </si>
  <si>
    <t>Предоставление ежемесячной денежной выплаты гражданам, удостоенным званий Героев Кубани и Героев труда Кубани и единовременных денежных выплат в соответствии с частью 1 и 3 статьи 6 и статьей 7  Закона Краснодарского края от 5 мая 2006 года № 1026-КЗ «О статусе Героев Кубани и Героев труда Кубани»</t>
  </si>
  <si>
    <t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1-3                    статьи 4, части 2 статьи 6 Закона Краснодарского края от 5 мая 2006 года № 1026-КЗ «О статусе Героев Кубани и Героев труда Кубани»</t>
  </si>
  <si>
    <t xml:space="preserve">Предоставление субсидий юридическим лицам (за исключением субсидий государственным (муниципальным учреждениям),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городских, муниципальных пригородных и муниципальных междугородных маршрутах и межмуниципальных пригородных маршрутах регулярного сообщения (кроме такси),железнодорожном транспорте пригородного сообщения отдельных категорий жителей  Краснодарского края в соответствии с Законом Краснодарского края  от 13 февраля                    2006 года № 987-КЗ «О дополнительных мерахсоциальной поддержки по оплате проезда отдельных категорий жителей Краснодарского края на 2006-2018 годы» </t>
  </si>
  <si>
    <t>Предоставление дополнительной меры социальной поддержки  по оплате проезда на междугородном транспорте к месту реабилитации (туда и обратно) инвалидам по зрению и лицам, сопровождающим инвалидов по зрению 1 группы, при их сопровождении к месту реабилитации (туда и обратно) и от места реабилитации (туда и обратно)</t>
  </si>
  <si>
    <t xml:space="preserve">Предоставление пособий на оплату проезда лицам, нуждающимся в проведении гемодиализа в соответствии с Законом Краснодарского края от         6 февраля 2008 года № 1388-КЗ «О выплате пособий на оплату проезда лицам, нуждающимся в проведении гемодиализа»
</t>
  </si>
  <si>
    <t>Обеспечение изготовления талонов и проездных документов для проезда на всех видах городского пассажирского транспорта (кроме такси)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 от 13 февраля                                     2006 года  № 987-КЗ «О дополнительных мерах социальной поддержки по оплате проезда отдельных категорий жителей Краснодарского края на 2006-                        2018 годы»</t>
  </si>
  <si>
    <t>Оказание государственной социальной помощи малоимущим семьям, малоимущим одиноко проживающим гражданам</t>
  </si>
  <si>
    <t>Предоставление мер социальной поддержки по обеспечению жильем отдельных категорий граждан, установленных федеральными законами от 12 января 1995 года № 5-ФЗ «О ветеранах», в соответствии с Указом Президента Российской Федерации от 7 мая 2008 года № 714  «Об обеспечении жильем ветеранов Великой Отечественной войны 1941-1945 годов»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</si>
  <si>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законам от 12 января 1995 года № 5-ФЗ «О ветеранах" (пунктом 3 части 3 статьи 23.2)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</si>
  <si>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законам  от 24 ноября  1995 года № 181-ФЗ «О социальной защите инвалидов в Российской Федерации» (статья 28.2) (за исключением мер социальной поддержки, предусмотренных подпунктом: 1.1.10.1 настоящего пункта)
</t>
  </si>
  <si>
    <t>830 1001 0310141300</t>
  </si>
  <si>
    <t>830 1001 0310141310</t>
  </si>
  <si>
    <t>830 1003 0310242030</t>
  </si>
  <si>
    <t>830 1003 0310242040</t>
  </si>
  <si>
    <t>830 1003 0310242050</t>
  </si>
  <si>
    <t>830 1003 0310242060</t>
  </si>
  <si>
    <t>830 1003 0310251370</t>
  </si>
  <si>
    <t>830 1003 0310252400</t>
  </si>
  <si>
    <t>830 1003 0310341010</t>
  </si>
  <si>
    <t>830 1003 0310341110</t>
  </si>
  <si>
    <t>830 1003 0310341120</t>
  </si>
  <si>
    <t>830 1003 0310341020</t>
  </si>
  <si>
    <t>830 1003 0310352510</t>
  </si>
  <si>
    <t>830 1003 0310352520</t>
  </si>
  <si>
    <t>830 1003 0310352530</t>
  </si>
  <si>
    <t>830 1003 03103R4620</t>
  </si>
  <si>
    <t>830 1003 0310441060</t>
  </si>
  <si>
    <t>830 1003 0310441150</t>
  </si>
  <si>
    <t>830 1003 0310441220</t>
  </si>
  <si>
    <t>830 1003 0310510830</t>
  </si>
  <si>
    <t>830 1003 0310541040</t>
  </si>
  <si>
    <t>830 1003 0310541070</t>
  </si>
  <si>
    <t>830 1003 0310552800</t>
  </si>
  <si>
    <t>830 1003 0310641090</t>
  </si>
  <si>
    <t>830 1003 0310641100</t>
  </si>
  <si>
    <t>830 1003 0310641130</t>
  </si>
  <si>
    <t>830 1006 0310743120</t>
  </si>
  <si>
    <t>830 1003 0310752200</t>
  </si>
  <si>
    <t>830 1003 0310742080</t>
  </si>
  <si>
    <t>830 1003 0310742090</t>
  </si>
  <si>
    <t>830 1003 0310713230</t>
  </si>
  <si>
    <t>830 1003 0310809440</t>
  </si>
  <si>
    <t>830 1003 0310809450</t>
  </si>
  <si>
    <t>830 1003 0310809460</t>
  </si>
  <si>
    <t>830 1003 0310809470</t>
  </si>
  <si>
    <t>830 1003 0310809480</t>
  </si>
  <si>
    <t>830 1003 0310809500</t>
  </si>
  <si>
    <t>830 1003 0310841000</t>
  </si>
  <si>
    <t>830 1003 0310841050</t>
  </si>
  <si>
    <t>830 1003 0310811650</t>
  </si>
  <si>
    <t>830 1003 0311041140</t>
  </si>
  <si>
    <t>830 1003 0311151340</t>
  </si>
  <si>
    <t>830 1003 0311151350</t>
  </si>
  <si>
    <t>830 1003 0311151760</t>
  </si>
  <si>
    <t>2.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</si>
  <si>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</t>
  </si>
  <si>
    <t>казенных учреждений</t>
  </si>
  <si>
    <t>предоставление субсидий государственным бюджетным и автономным учреждениям</t>
  </si>
  <si>
    <t xml:space="preserve"> 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</si>
  <si>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казенные учреждения</t>
  </si>
  <si>
    <t>предоставление субсидий государственным бюджетным и автономным учреждениям, в том числе:</t>
  </si>
  <si>
    <t>на финансовое обеспечение выполнения ими государственного задания</t>
  </si>
  <si>
    <t>на осуществление капитального ремонта</t>
  </si>
  <si>
    <t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Краснодарско-го края от 5 ноября 2014 года № 3051-КЗ «О социальном обслуживании населения на территории Краснодарского края»</t>
  </si>
  <si>
    <t>на проведение мероприятий, связанных с ликвидацией учреждений</t>
  </si>
  <si>
    <t xml:space="preserve"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«Краснодарский комплексный центр социального обслуживания населения «Карасунский» по ул. Дунайской, 60 г. Краснодара» </t>
  </si>
  <si>
    <t>Предоставление субсидий на осуществление капитального ремонта  зданий государственных бюджетных и автономных учреждений Краснодарского края, в том числе подготовка отдельных разделов проектной документации в целях проведения капитального ремонта</t>
  </si>
  <si>
    <t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</t>
  </si>
  <si>
    <t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</si>
  <si>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>Предоставление субсидий государственным бюжетным и автономным учреждениям на организацию социального туризма для граждан пожилого возраста и (или) инвалидов: проведение экскурсий, посещение памятных мест, учреждений культуры, исторических памятников</t>
  </si>
  <si>
    <t>Предоставление субсидий государственным и автономным учреждениям на организацию приемной семьи для граждан пожилого возраста и инвалидов</t>
  </si>
  <si>
    <t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края, подведомственные министерству труда и социального развития Краснодарского края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</si>
  <si>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"Реконструкция очистных сооружений ГБУ СО КК "Терновский психоневрологический интернат", Тихорецкий район, ст. Терновская</t>
  </si>
  <si>
    <t>Выплата компенсаций в виде субсидий за предоставление социальных услуг (оказываемых гражданам старших возрастов, инвалидам, включая детей-инвалидов)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</t>
  </si>
  <si>
    <t>830 0705 0320110200</t>
  </si>
  <si>
    <t>830 1002 0320200590</t>
  </si>
  <si>
    <t>830 1002 0320209020</t>
  </si>
  <si>
    <t>830 1002 0320211390</t>
  </si>
  <si>
    <t>830 1006 0320311580</t>
  </si>
  <si>
    <t>830 1006 03203R2090</t>
  </si>
  <si>
    <t>830 1006 0320309220</t>
  </si>
  <si>
    <t>830 1002 0320411540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</si>
  <si>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</si>
  <si>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Финансовое обеспечение деятельности государственных учреждений для детей-сирот и детей, оставшихся без попечения родителей, и государственных учреждений, осуществляющих деятельность в сфере отдыха и оздоровления детей, функции и полномочия учредителя в отношении которых осуществляет министерство труда и социального развития Краснодарского края (за исключением финансового обеспечения деятельности государственных учреждений, предусмотренных подпунктом 1.1.1.1 настоящего пункта), в том числе:</t>
  </si>
  <si>
    <t>предоставление субсидий государственным  бюджетным и автономным учреждениям, в том числе:</t>
  </si>
  <si>
    <t xml:space="preserve"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 поселках (поселках городского типа) на территории Краснодарского края, за счет краевого бюджета на  оплату жилых помещений, отопления и освещения в соответствии с Законом Краснодарского края от                             16 июля 2013 года № 2770-КЗ «Об образовании в Краснодарском крае»
</t>
  </si>
  <si>
    <t>Предоставление субсидий государственным автономным учреждениям на обеспечение детей первых шести месяцев жизни, родившихся не ранее                                     1 августа 2014 года и находящихся на смешанном или искусственном вскармливании, из семей со среднедушевым доходом, размер которого не              превышает величины прожиточного минимума на душу населения, установленного в Краснодарском крае, по заключению врача полноценным питанием посредством бесплатного предоставления специализированных продуктов детского питания в соот-ветствии с Законом Краснодарского края от                      30 июня 1997 года  № 90-КЗ «Об охране здоровья населения Краснодарского края»</t>
  </si>
  <si>
    <t xml:space="preserve">Выплата пособия на ребенка в соответствии с Законом Краснодарского края от 15 декабря                  2004 года № 807-КЗ «О пособии на ребенка»    
</t>
  </si>
  <si>
    <t xml:space="preserve"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года и находящихся на смешанном или искусственном вскармливании , из семей со среднедушевым доходом, размер которого не превышает величину прожиточного минимума на душу населения, установленного в Краснодарском крае в соответствии с Законом Краснодарского края  от 30 июня 1997 года № 90-КЗ «Об охране здоровья населения Краснодарского края
</t>
  </si>
  <si>
    <t>Ежемесячная денежная выплата  одному из родителей, являющемуся гражданином Российской Федерации, на  третьего ребенка или последующих детей, родившихся в период с 1 января 2013 года по  31 декабря 2017 года до достижения ими возраста трех лет в соответствии с Законом Краснодарского края от 1 августа 2012 года № 2568-КЗ «О дополнительных мерах социальной поддержки отельных категорий граждан»</t>
  </si>
  <si>
    <t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 в соответствии с Федеральным законом от                   19 мая 1995 года  № 81-ФЗ «О государственных пособиях гражданам, имеющим детей»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</si>
  <si>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(полномочий физическими лицами), в соответствии с Федеральным законом от 19 мая 1995 года № 81-ФЗ «О государственных пособиях гражданам, имеющим детей»</t>
  </si>
  <si>
    <t>Ежемесячная выплата в связи с рождением (усыновле-нием) первого ребенка в соответствии с Федеральным законом от 28 декабря 2017 года     № 418-ФЗ «О ежемесячных выплатах семьям, имеющим детей»</t>
  </si>
  <si>
    <t>Выплата единовременного денежного поощрения награжденным медалью Краснодарского края «Родительская доблесть»</t>
  </si>
  <si>
    <t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</t>
  </si>
  <si>
    <t>Предоставление меры социальной поддержки в виде  материнского (семейного) капитала</t>
  </si>
  <si>
    <t>Ежегодная денежная выплата многодетным семьям</t>
  </si>
  <si>
    <t>Выплата единовременного пособия при всех формах устройства детей, лишенных родительского попечения, в семью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</si>
  <si>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 в соответствии с Законом Красно-дарского края от 15 декабря 2004 года    
№805-КЗ «О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сферы»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</si>
  <si>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                   15 декабря 2004 года №805-КЗ «О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сферы» на осуществление 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</si>
  <si>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                 15 декабря 2004 года  №805-КЗ «О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сферы» на осуществление отдельных государственных полномочий по выплате ежемесячного вознаграждения, причитающегося  патронатным воспитателям за оказание услуг по осуществлению патронатного воспитания и постинтернатного сопровождения
</t>
  </si>
  <si>
    <t>Предоставление субвенций местным бюджетам муниципальных образований Краснодарского края в соответствии с Законом Краснодарского края от                                 29 декабря 2007 года № 1372-КЗ «О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несовершеннолетних»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несовершеннолетних, за исключением полномочий по формированию и ведению регионального банка данных о детях, оставшихся  без попечения родителей</t>
  </si>
  <si>
    <t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от 3 марта 2010 года                  № 1909-КЗ «О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детей»»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</si>
  <si>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 деятельности комиссий по делам несовершеннолетних и защите их прав в соответствии с Законом Краснодарского края от                                                 13 ноября 2006 года № 1132-КЗ «О комиссиях по делам несовершеннолетних и защите их прав в Краснодарском крае»
</t>
  </si>
  <si>
    <t>Осуществление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пунктом 3 статьи 25 Федерального закона  от 24 июня 1999 № 120-ФЗ «Об основах системы профилактики безнадзорности и правонарушений несовершеннолетних»</t>
  </si>
  <si>
    <t xml:space="preserve"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
</t>
  </si>
  <si>
    <t>830 1002 0330100590</t>
  </si>
  <si>
    <t>830 1002 0330109020</t>
  </si>
  <si>
    <t>830 1002 0330111390</t>
  </si>
  <si>
    <t>830 1006 0330100590</t>
  </si>
  <si>
    <t>830 0702 0330100590</t>
  </si>
  <si>
    <t>830 0702 0330112480</t>
  </si>
  <si>
    <t>830 0704 0330100590</t>
  </si>
  <si>
    <t>830 0704 0330111350</t>
  </si>
  <si>
    <t>830 0707 0330100590</t>
  </si>
  <si>
    <t>830 0702 0330109020</t>
  </si>
  <si>
    <t>830 0707 0330109020</t>
  </si>
  <si>
    <t>830 0704 0330112480</t>
  </si>
  <si>
    <t>830 1006 0330212490</t>
  </si>
  <si>
    <t>830 1003 0330241030</t>
  </si>
  <si>
    <t>830 1003 0330241080</t>
  </si>
  <si>
    <t>830 1003 0330252700</t>
  </si>
  <si>
    <t>830 1003 0330253810</t>
  </si>
  <si>
    <t>830 1003 0330253850</t>
  </si>
  <si>
    <t>830 1003 0330253860</t>
  </si>
  <si>
    <t>830 1003 0330253870</t>
  </si>
  <si>
    <t>830 1006 0330310840</t>
  </si>
  <si>
    <t>830  1004 0330341160</t>
  </si>
  <si>
    <t>830 1003 0330341260</t>
  </si>
  <si>
    <t>830 1003 0330342070</t>
  </si>
  <si>
    <t>830  1004 0330352600</t>
  </si>
  <si>
    <t>830  1004  0330460670</t>
  </si>
  <si>
    <t>830  1004 0330460680</t>
  </si>
  <si>
    <t>830  1004 0330460720</t>
  </si>
  <si>
    <t>830  1004 0330460730</t>
  </si>
  <si>
    <t>830  1006 0330460880</t>
  </si>
  <si>
    <t>830  1006 0330460900</t>
  </si>
  <si>
    <t>830  1006 0330460890</t>
  </si>
  <si>
    <t>830  1004 0330559400</t>
  </si>
  <si>
    <t>830 1002 0330611540</t>
  </si>
  <si>
    <t>1.1.1.2</t>
  </si>
  <si>
    <t>1.1.1.1</t>
  </si>
  <si>
    <t>1.1.1.3</t>
  </si>
  <si>
    <t>1.1.2.1</t>
  </si>
  <si>
    <t>1.1.2.2</t>
  </si>
  <si>
    <t>1.1.2.3</t>
  </si>
  <si>
    <t>1.1.2.4</t>
  </si>
  <si>
    <t>1.1.3.1</t>
  </si>
  <si>
    <t>1.1.1</t>
  </si>
  <si>
    <t>1.1.1.2.1</t>
  </si>
  <si>
    <t>1.1.2.1.1</t>
  </si>
  <si>
    <t>1.1.2.1.2</t>
  </si>
  <si>
    <t>1.1.2.1.2.1</t>
  </si>
  <si>
    <t>1.1.2.1.2.2</t>
  </si>
  <si>
    <t>1.1.2.1.2.3</t>
  </si>
  <si>
    <t>1.1.2.1.2.4</t>
  </si>
  <si>
    <t>1.1.3.2</t>
  </si>
  <si>
    <t>1.1.3.3</t>
  </si>
  <si>
    <t>1.1.3.5</t>
  </si>
  <si>
    <t>1.1.3.6</t>
  </si>
  <si>
    <t>1.1.3.7</t>
  </si>
  <si>
    <t>1.1.3.8</t>
  </si>
  <si>
    <t>1.1.3.9</t>
  </si>
  <si>
    <t xml:space="preserve">Предоставление субсидий государственным бюджетным и автономным учреждениям на организацию обучения компьютерной грамотности неработающих пенсионеров
</t>
  </si>
  <si>
    <t>1.1.4.1</t>
  </si>
  <si>
    <t>1.1.1.3.1</t>
  </si>
  <si>
    <t>1.1.1.3.2</t>
  </si>
  <si>
    <t>1.1.1.3.2.1</t>
  </si>
  <si>
    <t>1.1.1.3.2.2</t>
  </si>
  <si>
    <t>1.1.1.3.2.3</t>
  </si>
  <si>
    <t>1.1.2.5</t>
  </si>
  <si>
    <t>1.1.2.6</t>
  </si>
  <si>
    <t>1.1.2.7</t>
  </si>
  <si>
    <t>1.1.3.4</t>
  </si>
  <si>
    <t>1.1.4.2</t>
  </si>
  <si>
    <t>1.1.4.4</t>
  </si>
  <si>
    <t>1.1.4.5</t>
  </si>
  <si>
    <t>1.1.4.6</t>
  </si>
  <si>
    <t>1.1.4.7</t>
  </si>
  <si>
    <t>1.1.4.8</t>
  </si>
  <si>
    <t>1.1.5.1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</si>
  <si>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пунктами 1.1.2.2 и 1.1.3.3 настоящего раздела)</t>
  </si>
  <si>
    <t xml:space="preserve">Компенсация расходов на оплату жилого помещения и коммунальных услуг ветеранам труда и ветеранам военной службы, достигшим  возраста, дающего право на страховую пенсию по старости в соответствии с Федеральным законом "О страхованых пенсиях", жертвам политических репрессий, постоянно проживающим на территории Краснодарского края  </t>
  </si>
  <si>
    <t>1.1.4.3</t>
  </si>
  <si>
    <t>1.1.5.2</t>
  </si>
  <si>
    <t>1.1.5.3</t>
  </si>
  <si>
    <t>1.1.5.4</t>
  </si>
  <si>
    <t>1.1.6.1</t>
  </si>
  <si>
    <t>1.1.6.2</t>
  </si>
  <si>
    <t>1.1.7.2</t>
  </si>
  <si>
    <t>1.1.7.3</t>
  </si>
  <si>
    <t>1.1.7.5</t>
  </si>
  <si>
    <t>1.1.7.6</t>
  </si>
  <si>
    <t>1.1.8.1</t>
  </si>
  <si>
    <t>1.1.8.2</t>
  </si>
  <si>
    <t>1.1.8.3</t>
  </si>
  <si>
    <t>1.1.8.4</t>
  </si>
  <si>
    <t>1.1.10.2</t>
  </si>
  <si>
    <t>1.1.10.3</t>
  </si>
  <si>
    <t>1.1.10.4</t>
  </si>
  <si>
    <t>1.1.3.11</t>
  </si>
  <si>
    <t>1.1.3.12</t>
  </si>
  <si>
    <t>035</t>
  </si>
  <si>
    <t>Всего по подпрограмме , "Развитие мер социальной поддержки отдельных категорий граждан" в том числе:</t>
  </si>
  <si>
    <t>Всего по подпрограмме  «Модернизация и развитие социального обслуживания населения» ы том числе:</t>
  </si>
  <si>
    <t xml:space="preserve"> Всего по подпрограмме «Совершенствование социальной поддержки семьи и детей» в том числе:</t>
  </si>
  <si>
    <t>"Социальная поддержка граждан"</t>
  </si>
  <si>
    <t>Номер целевого показателя</t>
  </si>
  <si>
    <t>Причины недостижения фактического значения показателя в отчетном периоде</t>
  </si>
  <si>
    <t>Государственная программа Краснодарского края  «Социальная поддержка граждан»</t>
  </si>
  <si>
    <t>1.1</t>
  </si>
  <si>
    <t>Число граждан, получивших документы на право пользования мерами социальной поддержки</t>
  </si>
  <si>
    <t>человек</t>
  </si>
  <si>
    <t>заявительный характер</t>
  </si>
  <si>
    <t>1.2</t>
  </si>
  <si>
    <t>Соотношение средней заработной платы социальных работников государственных учреждений со средней заработной платой в Краснодарском крае</t>
  </si>
  <si>
    <t>%</t>
  </si>
  <si>
    <t>1.3</t>
  </si>
  <si>
    <t>Удельный вес детей-сирот и детей, оставшихся без попечения родителей, переданных на воспитание в семью (от общей численности вновь выявленных детей за отчетный период)</t>
  </si>
  <si>
    <t>расчитывается по итогам года</t>
  </si>
  <si>
    <t>1.4</t>
  </si>
  <si>
    <t>Доля государственных учреждений, предоставляющих информацию об энергосбережении и повышении энергетической эффективности (энергетические декларации) в электронном виде</t>
  </si>
  <si>
    <t>-</t>
  </si>
  <si>
    <t>1.5</t>
  </si>
  <si>
    <t>Доля государственных учреждений, оснащенных приборами учета тепловой энергии</t>
  </si>
  <si>
    <t>1.6</t>
  </si>
  <si>
    <t>Удельный вес учреждений социального обслуживания, основанный на иных формах собственности (кроме государственных учреждений), в общем количестве учреждений социального обслуживания всех форм собственности</t>
  </si>
  <si>
    <t>Подпрограмма   «Развитие мер социальной поддержки отдельных категорий граждан»</t>
  </si>
  <si>
    <t>2.1</t>
  </si>
  <si>
    <t>Доля отдельных категорий граждан, получающих меры социальной поддержки от общего числа граждан, обратившихся за их получением</t>
  </si>
  <si>
    <t>отказ гражданам в предоставлении мер социальной поддержки</t>
  </si>
  <si>
    <t>Подпрограмма  «Модернизация и развитие социального обслуживания населения»</t>
  </si>
  <si>
    <t>2.2.1</t>
  </si>
  <si>
    <t>Доля пожилых граждан и инвалидов,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</t>
  </si>
  <si>
    <t>Подпрограмма «Совершенствование социальной поддержки семьи и детей»</t>
  </si>
  <si>
    <t>2.3.1</t>
  </si>
  <si>
    <t xml:space="preserve">Удельный вес несовершеннолетних, возвращенных в физиологическую семью и переданных на воспитание в замещающие семьи (от общего числа несовершеннолетних,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– социально-реабилитационных центрах для несовершеннолетних, нуждающихся в социальной реабилитации) </t>
  </si>
  <si>
    <t>за 1 квартал 2018 года</t>
  </si>
  <si>
    <t xml:space="preserve">оснащенных транспортных средств </t>
  </si>
  <si>
    <t>финансирование предусмотренно во 2-3 кварталах 2018 года</t>
  </si>
  <si>
    <t xml:space="preserve">технических средств </t>
  </si>
  <si>
    <t>процент</t>
  </si>
  <si>
    <t>тыс.человек</t>
  </si>
  <si>
    <t>тыс.шт.</t>
  </si>
  <si>
    <t>830 1004 0330255730</t>
  </si>
  <si>
    <t>1.1.9.1</t>
  </si>
  <si>
    <t>оплата по фактически поданным документам</t>
  </si>
  <si>
    <t>учреждений</t>
  </si>
  <si>
    <t>проведение капитального ремонта предусмотрено во 2-4 кв. 2018 года</t>
  </si>
  <si>
    <t>чел.</t>
  </si>
  <si>
    <t>830 0000 0330242100</t>
  </si>
  <si>
    <t>семей</t>
  </si>
  <si>
    <t>не выполнено</t>
  </si>
  <si>
    <t>На заседании комиссии по государственным наградам администрации Краснодарского края 13 апреля 2018 года будут рассмотрены кандидатуры семей на награждение медалью Краснодарского края "Родительская доблесть" Вручение медалей планируется провести 8 июля 2018 года. Выплата единовоременного денежного поощрения награжденным медалью Краснодарского рая "Родительская  доблесть" будет осуществляться в 3 квартале 2018 года.</t>
  </si>
  <si>
    <t>освоение 2 - 4 квартала 2018 года</t>
  </si>
  <si>
    <t>Плановые значения устанавливаются на год</t>
  </si>
  <si>
    <t>выполнено</t>
  </si>
  <si>
    <t>завершение строительства ввод обьекта в эксплуатацию</t>
  </si>
  <si>
    <t xml:space="preserve">выполнение проектно-изыскательных работ
</t>
  </si>
  <si>
    <t>Предоставление субвенций местным бюджетам муниципальных образований Краснодарского 
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с Законом Краснодарского края от                                         15 декабря 2004 года №805-КЗ «О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</t>
  </si>
  <si>
    <t>И.Н. Маслак</t>
  </si>
  <si>
    <t>259-05-81</t>
  </si>
  <si>
    <t>3</t>
  </si>
  <si>
    <t xml:space="preserve">Начальник отдела финансового обеспечения мероприятий в области социальной политики </t>
  </si>
  <si>
    <t>№ п/п</t>
  </si>
  <si>
    <t>Наименование мероприятия, контрольного события</t>
  </si>
  <si>
    <t xml:space="preserve">Статус </t>
  </si>
  <si>
    <t>Ответственный за реализацию мероприятия, выполнение контрольного события</t>
  </si>
  <si>
    <t>Код классификации расходов бюджета</t>
  </si>
  <si>
    <t>Поквартальное распределение прогноза кассовых выплат из краевого бюджета, тыс.рублей</t>
  </si>
  <si>
    <t>I</t>
  </si>
  <si>
    <t>II</t>
  </si>
  <si>
    <t>III</t>
  </si>
  <si>
    <t>IV</t>
  </si>
  <si>
    <t>Подпрограмма № 1 "Развитие мер социальной поддержки отдельных категорий граждан"</t>
  </si>
  <si>
    <t>Меры государственной поддержки лиц, замещавших государственные должности и должности государственной гражданской службы Краснодарского края</t>
  </si>
  <si>
    <t>1.1.2</t>
  </si>
  <si>
    <t>министерство труда и социального развития Краснодарского края,  начальник управления организации социальных выплат И.И. Целищева</t>
  </si>
  <si>
    <t>1.1.3</t>
  </si>
  <si>
    <t>1.1.4</t>
  </si>
  <si>
    <t>Предоставление ежегодных и ежемесячных денежных выплат отдельным категориям граждан</t>
  </si>
  <si>
    <t>1.2.1</t>
  </si>
  <si>
    <t>1.2.2</t>
  </si>
  <si>
    <t>1.2.3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</si>
  <si>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пунктами 1.1.2.2 и 1.1.3.3 и 1.1.3.3 настоящего раздела)</t>
  </si>
  <si>
    <t>1.2.4</t>
  </si>
  <si>
    <t>Меры социальной поддержки по оплате жилого помещения и коммунальных услуг</t>
  </si>
  <si>
    <t>1.3.1</t>
  </si>
  <si>
    <t xml:space="preserve">Компенсация расходов на оплату жилого помещения и коммунальных услуг ветеранам трудаи ветеранам военной службы, достигшим  возраста, дающего право на страховую пенсию по старости в соответствии с Федеральным законом "О страхованых пенсиях", жертвам политических репрессий, постоянно проживающим на территории Краснодарского края  </t>
  </si>
  <si>
    <t>1.3.2</t>
  </si>
  <si>
    <t>1.3.3</t>
  </si>
  <si>
    <t>КБ</t>
  </si>
  <si>
    <t>ФБ</t>
  </si>
  <si>
    <t>1.3.4</t>
  </si>
  <si>
    <t>Социальная поддержка военнослужащих, родителей и вдов военнослужащих, лиц рядового и начальствующего состава органов внутренних дел и сотрудников органов федеральной службы безопасности</t>
  </si>
  <si>
    <t>1.4.1</t>
  </si>
  <si>
    <t>1.4.2</t>
  </si>
  <si>
    <t>1.4.3</t>
  </si>
  <si>
    <t>Выплата денежной компенсации отдельным категориям граждан</t>
  </si>
  <si>
    <t>1.5.1</t>
  </si>
  <si>
    <t>1.5.2</t>
  </si>
  <si>
    <t>1.5.3</t>
  </si>
  <si>
    <t>1.5.4</t>
  </si>
  <si>
    <t>1.6.</t>
  </si>
  <si>
    <t>Возмещение затрат,связанных с погребением</t>
  </si>
  <si>
    <t>1.6.1</t>
  </si>
  <si>
    <t xml:space="preserve">министерство труда и социального развития Краснодарского края, начальник управления организации социальных выплат И.И. Целищева </t>
  </si>
  <si>
    <t>1.6.2</t>
  </si>
  <si>
    <t>1.7</t>
  </si>
  <si>
    <t>Меры социальной поддержки граждан, удостоенным почетного звания или наград Краснодарского края и Российской Федерации</t>
  </si>
  <si>
    <t>1.7.2</t>
  </si>
  <si>
    <t>1.7.3</t>
  </si>
  <si>
    <t>1.7.5</t>
  </si>
  <si>
    <t>1.7.6</t>
  </si>
  <si>
    <t>1.8</t>
  </si>
  <si>
    <t>Дополнительные меры социальной поддержки по оплате проезда</t>
  </si>
  <si>
    <t>1.8.1</t>
  </si>
  <si>
    <t xml:space="preserve"> 830 1003 0310809460</t>
  </si>
  <si>
    <t>1.8.2</t>
  </si>
  <si>
    <t>1.8.3</t>
  </si>
  <si>
    <t>1.8.4</t>
  </si>
  <si>
    <t>1.9</t>
  </si>
  <si>
    <t>Оказание государственной социальной помощи малоимущим семьям, малоимущим одиноко проживающим гражданам и малоимущим пенсионерам</t>
  </si>
  <si>
    <t>1.9.1</t>
  </si>
  <si>
    <t>1.10</t>
  </si>
  <si>
    <t>Обеспечение жильем отдельных категорий граждан</t>
  </si>
  <si>
    <t>1.10.2</t>
  </si>
  <si>
    <t>министерство труда и социального развития Краснодарского края,  начальник управления по делам ветеранов, реабилитации инвалидов и организации безбарьерной среды                                           Е.А. Плешакова</t>
  </si>
  <si>
    <t>1.10.3</t>
  </si>
  <si>
    <t>1.10.4</t>
  </si>
  <si>
    <t>Контрольное событие 1.1</t>
  </si>
  <si>
    <t>X</t>
  </si>
  <si>
    <t>Оформление документов на право пользование мерами социальной поддержки отдельным категориям граждан, по вопросам отнесенным к компетенции органов государственной власти Краснодарского края</t>
  </si>
  <si>
    <t>управления социальной защиты населения Краснодарского края</t>
  </si>
  <si>
    <t>Контрольное событие 1.2</t>
  </si>
  <si>
    <t>Оказание мер социальной поддержки отдельным категориям граждан</t>
  </si>
  <si>
    <t>министерство труда и социального развития Краснодарского края</t>
  </si>
  <si>
    <t>Итого по подпрограмме, в том числе:</t>
  </si>
  <si>
    <t>средства краевого бюджета</t>
  </si>
  <si>
    <t>средства федерального бюджета</t>
  </si>
  <si>
    <t>Подпрограмма № 2 «Модернизация и развитие социального обслуживания населения»</t>
  </si>
  <si>
    <t>министерство труда и социального развития Краснодарского края начальник  финансово-экономического управления Ю.А. Козлова</t>
  </si>
  <si>
    <t>2.1.1</t>
  </si>
  <si>
    <t>2.1.2</t>
  </si>
  <si>
    <t>2.2</t>
  </si>
  <si>
    <t>Материально-техническое и финансовое обеспечение деятельности государственных учреждений, подведомственных министерству труда и  социального развития Краснодарского края</t>
  </si>
  <si>
    <t xml:space="preserve">министерство  труда и социального развития Краснодарского края, начальник управления по делам ветеранов, реабилитации инвалидов и организации безбарьерной среды                                          Е.А. Плешакова, начальник  управления по социальной поддержке граждан,                        Л.А. Серебрякова 
</t>
  </si>
  <si>
    <t>2.2.1.1</t>
  </si>
  <si>
    <t>2.2.1.2</t>
  </si>
  <si>
    <t>2.2.1.2.1</t>
  </si>
  <si>
    <t>2.2.1.2.2</t>
  </si>
  <si>
    <t>2.2.1.2.3</t>
  </si>
  <si>
    <t>2.2.1.2.4</t>
  </si>
  <si>
    <t>2.3</t>
  </si>
  <si>
    <t>Обеспечение потребностей граждан пожилых возрастов, инвалидов, включая детей-инвалидов в социальном обслуживании</t>
  </si>
  <si>
    <t>министерство труда и социального развития Краснодарского края, начальник отдела по вопросам капитального ремонта и строительства Н.Н.Ярошенко</t>
  </si>
  <si>
    <t>2.3.2</t>
  </si>
  <si>
    <t>министерство труда и  социального развития Краснодарского края, начальник отдела по вопросам капитального ремонта и строительства Н.Н.Ярошенко</t>
  </si>
  <si>
    <t>2.3.3</t>
  </si>
  <si>
    <t>министерство труда и  социального развития Краснодарского края,  начальник  управления по социальной поддержке граждан,                                                                                     Л.А. Серебрякова</t>
  </si>
  <si>
    <t>2.3.4</t>
  </si>
  <si>
    <t>министерство  труда и социального развития Краснодарского края,  начальник  управления по социальной поддержке граждан,                                                                                                             Л.А. Серебрякова</t>
  </si>
  <si>
    <t>2.3.5</t>
  </si>
  <si>
    <t>Предоставление 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</t>
  </si>
  <si>
    <t>2.3.6</t>
  </si>
  <si>
    <t>2.3.7</t>
  </si>
  <si>
    <t>2.3.8</t>
  </si>
  <si>
    <t>Компенсация, выплачиваемая поставщикам социальных услуг (оказываемых гражданам старших возрастов, инвалидам, включая детей-инвалидов), включенным в реестр поставщиков социальных услуг и не участвующим в выполнении государственного задания (заказа)</t>
  </si>
  <si>
    <t>Контрольное событие 2.1</t>
  </si>
  <si>
    <t>Рост соотношения средней заработной платы социальных работников государственных учреждений, функции и полномочия учредителя в отношении которых осуществляет министерство труда  и социального развития Краснодарского края со средней заработной платой в Краснодарском края</t>
  </si>
  <si>
    <t>Контрольное событие 2.2</t>
  </si>
  <si>
    <t>Ввод в эксплуатацию объекта капитального строительства Краснодарский комплексный центр социального обслуживания населения «Карасунский» по ул.Дунайской, 60, г.Краснодара</t>
  </si>
  <si>
    <t>Контрольное событие 2.3</t>
  </si>
  <si>
    <t>Развитие материально-технической базы учреждений, обслуживающих пожилых людей и инвалидов в различных условиях социальной сферы</t>
  </si>
  <si>
    <t>Контрольное событие 2.4</t>
  </si>
  <si>
    <t>Работа мобильных бригад в государственных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 организована во всех сельских муниципальных образованиях края</t>
  </si>
  <si>
    <t>средства бюджета Пенсионного фонда</t>
  </si>
  <si>
    <t>3.</t>
  </si>
  <si>
    <t>Подпрограмма № 3 «Совершенствование социальной поддержки семьи и детей»</t>
  </si>
  <si>
    <t>3.1</t>
  </si>
  <si>
    <t>Финансовое обеспечение деятельности государственных учреждений социального обслуживания и государственных учреждений, осуществляющих деятельность в сфере семейной политики и отдыха и оздоровления детей</t>
  </si>
  <si>
    <t>3.1.1</t>
  </si>
  <si>
    <t>министерство труда и социального развития Краснодарского края, начальник управления по делам ветеранов, реабилитации инвалидов и организации безбарьерной среды                                    Е.А. Плешакова</t>
  </si>
  <si>
    <t>3.1.1.2</t>
  </si>
  <si>
    <t>3.1.2</t>
  </si>
  <si>
    <t xml:space="preserve">министерство труда и социального развития Краснодарского края, начальник управления по работе с несовершеннолетними, опеки и попечительства                       Н.И Агафонова  </t>
  </si>
  <si>
    <t>3.1.1.1</t>
  </si>
  <si>
    <t>3.1.1.2.1</t>
  </si>
  <si>
    <t>3.1.1.2.2</t>
  </si>
  <si>
    <t>3.1.1.2.4</t>
  </si>
  <si>
    <t>3.2</t>
  </si>
  <si>
    <t>Обеспечение мер государственной поддержки в связи с беременностью и родами, а также гражданам, имеющим детей</t>
  </si>
  <si>
    <t>3.2.1</t>
  </si>
  <si>
    <t>министерство труда и социального развития Краснодарского края, начальник управления организации социальных выплат                                                                                                                                 И.И. Целищева,                          начальник  финансово-экономического управления Ю.А. Козлова</t>
  </si>
  <si>
    <t>3.2.2</t>
  </si>
  <si>
    <t>3.2.3</t>
  </si>
  <si>
    <t>3.2.4</t>
  </si>
  <si>
    <t>830 1003 0330242100</t>
  </si>
  <si>
    <t>3.2.5</t>
  </si>
  <si>
    <t>3.2.6</t>
  </si>
  <si>
    <t>3.2.7</t>
  </si>
  <si>
    <t>830 1003 0330255730</t>
  </si>
  <si>
    <t>3.3</t>
  </si>
  <si>
    <t>Единовременные и ежегодные денежные выплаты семьям с детьми</t>
  </si>
  <si>
    <t>3.3.2</t>
  </si>
  <si>
    <t>министерство труда и социального развития Краснодарского края, начальник отдела по социальной защите семьи, материнства, детства                     В.Н. Голыба</t>
  </si>
  <si>
    <t>3.3.3</t>
  </si>
  <si>
    <t xml:space="preserve">министерство труда и социального развития Краснодарского края, начальник управления по работе с несовершеннолетними, опеки и попечительства                         Н.И Агафонова  </t>
  </si>
  <si>
    <t>3.3.4</t>
  </si>
  <si>
    <t>3.3.5</t>
  </si>
  <si>
    <t>Компенсация, выплачиваемая поставщикам социальных услуг (оказываемых детям с ограниченными возможностями здоровья, а также детям, находящимся в социальном опасном положении, в трудной жизненной ситуации), включенным в реестр поставщиков социальных услуг и не участвующим в выполнении государственного задания (заказа)</t>
  </si>
  <si>
    <t>3.3.6</t>
  </si>
  <si>
    <t xml:space="preserve">министерство труда и социального развития Краснодарского края, начальник управления по работе с несовершеннолетними, опеки и попечительства                           Н.И Агафонова  </t>
  </si>
  <si>
    <t>3.4</t>
  </si>
  <si>
    <t>Финансовое обеспечение осуществления переданных органам местного самоуправления отдельных государственных полномочий, направленных на социальную поддержку граждан</t>
  </si>
  <si>
    <t>3.4.1</t>
  </si>
  <si>
    <t xml:space="preserve">Предоставление субвенций местным бюджетам муниципальных образований Краснодарского 
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с Законом Краснодарского края от                                         15 декабря 2004 года №805-КЗ «О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сферы»
</t>
  </si>
  <si>
    <t xml:space="preserve">министерство труда и социального развития Краснодарского края, начальник управления по работе с несовершеннолетними, опеки и попечительства                               Н.И Агафонова  </t>
  </si>
  <si>
    <t>3.4.2</t>
  </si>
  <si>
    <t>3.4.4</t>
  </si>
  <si>
    <t>3.4.5</t>
  </si>
  <si>
    <t xml:space="preserve">министерство труда и социального развития Краснодарского края, начальник управления по работе с несовершеннолетними, опеки и попечительства                     Н.И Агафонова  </t>
  </si>
  <si>
    <t>3.4.6</t>
  </si>
  <si>
    <t xml:space="preserve">министерство труда и социального развития Краснодарского края, начальник управления по работе с несовершеннолетними, опеки и попечительства                            Н.И Агафонова  </t>
  </si>
  <si>
    <t>3.4.7</t>
  </si>
  <si>
    <t>3.4.8</t>
  </si>
  <si>
    <t>3.5</t>
  </si>
  <si>
    <t>Мероприятия по профилактике безнадзорности и правонарушений несовершеннолетних</t>
  </si>
  <si>
    <t>3.5.1</t>
  </si>
  <si>
    <t xml:space="preserve">министерство труда и социального развития Краснодарского края, начальник управления по работе с несовершеннолетними, опеки и попечительства                              Н.И Агафонова </t>
  </si>
  <si>
    <t>3.6.1</t>
  </si>
  <si>
    <t xml:space="preserve"> министерство труда и социального развития Краснодарского края, начальник управления по делам ветеранов, реабилитации инвалидов и организации безбарьерной среды                                          Е.А. Плешакова</t>
  </si>
  <si>
    <t>Контрольное событие 3.1</t>
  </si>
  <si>
    <t>Реализация мер социальной поддержки детей-сирот и детей, оставшихся без попечения родителей</t>
  </si>
  <si>
    <t>Контрольное событие 3.2</t>
  </si>
  <si>
    <t xml:space="preserve">Оказание  мер социальной поддержки гражданам, имеющим детей </t>
  </si>
  <si>
    <t>4</t>
  </si>
  <si>
    <t xml:space="preserve">Основное мерориятие </t>
  </si>
  <si>
    <t>4.1</t>
  </si>
  <si>
    <t>830 1006 0350900190</t>
  </si>
  <si>
    <t>830 1006 0350909020</t>
  </si>
  <si>
    <t>830 1006 0350998700</t>
  </si>
  <si>
    <t>Итого по основному мерориятию</t>
  </si>
  <si>
    <t>Плановый срок начала реализации мероприятия (дд.мм.гггг)</t>
  </si>
  <si>
    <t>Плановый срок окончания реализации мероприятия, наступления контрольного события (дд.мм.гггг)</t>
  </si>
  <si>
    <t>Фактический срок начала реализации мероприятия (дд.мм.гггг)</t>
  </si>
  <si>
    <t>Фактический срок окончания реализации мероприятия, наступления контрольного события (дд.мм.гггг)</t>
  </si>
  <si>
    <t>Итого по государственной программе: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</si>
  <si>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</si>
  <si>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Начальник отдела финансового обеспечения                                                                                                                                                                              мероприятий в области социальной политики                                                                                                                                                       О.Ю. Кириенкова</t>
  </si>
  <si>
    <t>*</t>
  </si>
  <si>
    <t>* - информация будет представлена позднее</t>
  </si>
  <si>
    <t>выполнение мероприятий запланированно на 2-4 квартал</t>
  </si>
  <si>
    <t xml:space="preserve">473000
</t>
  </si>
  <si>
    <t>Выплата гражданам пожилого возраста (достигшим  возраста, установленного законодательством Российской Федерации для назначения пенсии по старости) и одиноким гражданам, страдающим хроническими заболеваниями, неспособным удовлетворять свои  основные жизненые потребности, получающим медико-социальную помощь на дому, в учреждениях  государственной и муниципальной систем здравоохранения, в учреждениях системы социальной защиты населения, в целях льгготоного обеспечения протезами, ортопедическими корригирующими изделиями, слуховыми аппаратами</t>
  </si>
  <si>
    <t>О.Ю. Кириенкова</t>
  </si>
  <si>
    <t>Начальник отдела финансового обеспечения мероприятий в облатси социальной политики</t>
  </si>
  <si>
    <t xml:space="preserve">                                                                       ПЛАН РЕАЛИЗАЦИИ</t>
  </si>
  <si>
    <t xml:space="preserve">                                                                            государственной программы Краснодарского края "Социальная поддержка граждан"</t>
  </si>
  <si>
    <r>
      <t>Номер  мероп-риятия</t>
    </r>
    <r>
      <rPr>
        <vertAlign val="superscript"/>
        <sz val="14"/>
        <color rgb="FF000000"/>
        <rFont val="Times New Roman"/>
        <family val="1"/>
        <charset val="204"/>
      </rPr>
      <t>1)</t>
    </r>
  </si>
  <si>
    <r>
      <t>Заключено государственных контрактов на отчетную дату, тыс. рублей</t>
    </r>
    <r>
      <rPr>
        <vertAlign val="superscript"/>
        <sz val="14"/>
        <color rgb="FF000000"/>
        <rFont val="Times New Roman"/>
        <family val="1"/>
        <charset val="204"/>
      </rPr>
      <t>2)</t>
    </r>
  </si>
  <si>
    <r>
      <t xml:space="preserve">Причины неосвоения средств по мероприятию </t>
    </r>
    <r>
      <rPr>
        <vertAlign val="superscript"/>
        <sz val="14"/>
        <color theme="1"/>
        <rFont val="Times New Roman"/>
        <family val="1"/>
        <charset val="204"/>
      </rPr>
      <t>3)</t>
    </r>
  </si>
  <si>
    <r>
      <t xml:space="preserve">Отметка о выполнении мероприятия </t>
    </r>
    <r>
      <rPr>
        <vertAlign val="superscript"/>
        <sz val="14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</si>
  <si>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4"/>
        <color theme="1"/>
        <rFont val="Times New Roman"/>
        <family val="1"/>
        <charset val="204"/>
      </rPr>
      <t>5)</t>
    </r>
  </si>
  <si>
    <r>
      <t>краевой бюджет</t>
    </r>
    <r>
      <rPr>
        <i/>
        <vertAlign val="superscript"/>
        <sz val="14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</si>
  <si>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14"/>
        <color rgb="FF000000"/>
        <rFont val="Times New Roman"/>
        <family val="1"/>
        <charset val="204"/>
      </rPr>
      <t>7)</t>
    </r>
  </si>
  <si>
    <t xml:space="preserve"> выполнено</t>
  </si>
  <si>
    <t xml:space="preserve">                                                              за 1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</si>
</sst>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CC009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22"/>
      <name val="Arial Cyr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vertAlign val="superscript"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5" borderId="0" applyNumberFormat="0" applyBorder="0" applyAlignment="0" applyProtection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362">
    <xf numFmtId="0" fontId="0" fillId="0" borderId="0" xfId="0"/>
    <xf numFmtId="0" fontId="5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6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9" fillId="0" borderId="0" xfId="0" applyFont="1" applyFill="1"/>
    <xf numFmtId="0" fontId="11" fillId="0" borderId="0" xfId="0" applyFont="1" applyFill="1" applyAlignment="1"/>
    <xf numFmtId="0" fontId="12" fillId="0" borderId="0" xfId="0" applyFont="1" applyFill="1" applyAlignment="1"/>
    <xf numFmtId="0" fontId="9" fillId="0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49" fontId="10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5" fillId="0" borderId="0" xfId="2"/>
    <xf numFmtId="0" fontId="11" fillId="0" borderId="0" xfId="2" applyFont="1" applyAlignment="1"/>
    <xf numFmtId="0" fontId="19" fillId="0" borderId="0" xfId="2" applyFont="1" applyFill="1"/>
    <xf numFmtId="0" fontId="15" fillId="0" borderId="0" xfId="2" applyFill="1"/>
    <xf numFmtId="49" fontId="20" fillId="0" borderId="1" xfId="2" applyNumberFormat="1" applyFont="1" applyFill="1" applyBorder="1" applyAlignment="1">
      <alignment horizontal="center" vertical="top" wrapText="1"/>
    </xf>
    <xf numFmtId="0" fontId="20" fillId="0" borderId="1" xfId="2" applyFont="1" applyFill="1" applyBorder="1" applyAlignment="1">
      <alignment horizontal="center" vertical="top" wrapText="1"/>
    </xf>
    <xf numFmtId="0" fontId="19" fillId="6" borderId="0" xfId="2" applyFont="1" applyFill="1"/>
    <xf numFmtId="0" fontId="19" fillId="0" borderId="0" xfId="2" applyFont="1"/>
    <xf numFmtId="0" fontId="14" fillId="5" borderId="0" xfId="1"/>
    <xf numFmtId="165" fontId="20" fillId="0" borderId="1" xfId="2" applyNumberFormat="1" applyFont="1" applyFill="1" applyBorder="1" applyAlignment="1">
      <alignment horizontal="center" vertical="top" wrapText="1"/>
    </xf>
    <xf numFmtId="0" fontId="19" fillId="2" borderId="0" xfId="2" applyFont="1" applyFill="1"/>
    <xf numFmtId="0" fontId="22" fillId="0" borderId="1" xfId="2" applyFont="1" applyFill="1" applyBorder="1" applyAlignment="1">
      <alignment vertical="top" wrapText="1"/>
    </xf>
    <xf numFmtId="165" fontId="22" fillId="0" borderId="1" xfId="2" applyNumberFormat="1" applyFont="1" applyFill="1" applyBorder="1" applyAlignment="1">
      <alignment horizontal="center" vertical="top" wrapText="1"/>
    </xf>
    <xf numFmtId="0" fontId="19" fillId="4" borderId="0" xfId="2" applyFont="1" applyFill="1"/>
    <xf numFmtId="14" fontId="20" fillId="3" borderId="1" xfId="2" applyNumberFormat="1" applyFont="1" applyFill="1" applyBorder="1" applyAlignment="1">
      <alignment horizontal="center" vertical="top" wrapText="1"/>
    </xf>
    <xf numFmtId="165" fontId="19" fillId="2" borderId="0" xfId="2" applyNumberFormat="1" applyFont="1" applyFill="1"/>
    <xf numFmtId="165" fontId="19" fillId="0" borderId="0" xfId="2" applyNumberFormat="1" applyFont="1"/>
    <xf numFmtId="49" fontId="20" fillId="3" borderId="1" xfId="2" applyNumberFormat="1" applyFont="1" applyFill="1" applyBorder="1" applyAlignment="1">
      <alignment horizontal="center" vertical="top" wrapText="1"/>
    </xf>
    <xf numFmtId="14" fontId="20" fillId="3" borderId="4" xfId="2" applyNumberFormat="1" applyFont="1" applyFill="1" applyBorder="1" applyAlignment="1">
      <alignment horizontal="center" vertical="top" wrapText="1"/>
    </xf>
    <xf numFmtId="49" fontId="20" fillId="3" borderId="1" xfId="2" applyNumberFormat="1" applyFont="1" applyFill="1" applyBorder="1" applyAlignment="1">
      <alignment horizontal="center" vertical="top"/>
    </xf>
    <xf numFmtId="49" fontId="15" fillId="0" borderId="1" xfId="2" applyNumberFormat="1" applyFill="1" applyBorder="1" applyAlignment="1">
      <alignment horizontal="center"/>
    </xf>
    <xf numFmtId="0" fontId="8" fillId="0" borderId="1" xfId="2" applyFont="1" applyFill="1" applyBorder="1"/>
    <xf numFmtId="49" fontId="15" fillId="0" borderId="0" xfId="2" applyNumberFormat="1" applyFill="1" applyBorder="1" applyAlignment="1">
      <alignment horizontal="center"/>
    </xf>
    <xf numFmtId="0" fontId="22" fillId="0" borderId="0" xfId="2" applyFont="1" applyFill="1" applyBorder="1" applyAlignment="1">
      <alignment vertical="top" wrapText="1"/>
    </xf>
    <xf numFmtId="0" fontId="15" fillId="0" borderId="0" xfId="2" applyFill="1" applyBorder="1"/>
    <xf numFmtId="49" fontId="19" fillId="0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165" fontId="20" fillId="0" borderId="0" xfId="2" applyNumberFormat="1" applyFont="1" applyFill="1" applyBorder="1" applyAlignment="1">
      <alignment horizontal="center" vertical="top" wrapText="1"/>
    </xf>
    <xf numFmtId="165" fontId="18" fillId="0" borderId="0" xfId="2" applyNumberFormat="1" applyFont="1" applyFill="1" applyBorder="1" applyAlignment="1">
      <alignment horizontal="right" vertical="top" wrapText="1"/>
    </xf>
    <xf numFmtId="0" fontId="27" fillId="0" borderId="0" xfId="2" applyFont="1" applyFill="1"/>
    <xf numFmtId="49" fontId="27" fillId="0" borderId="0" xfId="2" applyNumberFormat="1" applyFont="1" applyFill="1" applyAlignment="1">
      <alignment horizontal="center"/>
    </xf>
    <xf numFmtId="0" fontId="18" fillId="0" borderId="0" xfId="2" applyFont="1" applyFill="1"/>
    <xf numFmtId="49" fontId="15" fillId="0" borderId="0" xfId="2" applyNumberFormat="1" applyFill="1" applyAlignment="1">
      <alignment horizontal="center"/>
    </xf>
    <xf numFmtId="49" fontId="19" fillId="0" borderId="0" xfId="2" applyNumberFormat="1" applyFont="1" applyFill="1" applyAlignment="1">
      <alignment horizontal="center"/>
    </xf>
    <xf numFmtId="0" fontId="15" fillId="8" borderId="0" xfId="2" applyFill="1"/>
    <xf numFmtId="0" fontId="11" fillId="0" borderId="0" xfId="2" applyFont="1" applyAlignment="1">
      <alignment vertical="center" textRotation="180"/>
    </xf>
    <xf numFmtId="49" fontId="15" fillId="0" borderId="0" xfId="2" applyNumberFormat="1" applyAlignment="1">
      <alignment horizontal="center"/>
    </xf>
    <xf numFmtId="49" fontId="19" fillId="0" borderId="0" xfId="2" applyNumberFormat="1" applyFont="1" applyAlignment="1">
      <alignment horizontal="center"/>
    </xf>
    <xf numFmtId="165" fontId="24" fillId="3" borderId="1" xfId="2" applyNumberFormat="1" applyFont="1" applyFill="1" applyBorder="1" applyAlignment="1">
      <alignment horizontal="center" vertical="top" wrapText="1"/>
    </xf>
    <xf numFmtId="165" fontId="20" fillId="3" borderId="1" xfId="2" applyNumberFormat="1" applyFont="1" applyFill="1" applyBorder="1" applyAlignment="1">
      <alignment horizontal="center" vertical="top" wrapText="1"/>
    </xf>
    <xf numFmtId="0" fontId="19" fillId="3" borderId="0" xfId="2" applyFont="1" applyFill="1"/>
    <xf numFmtId="0" fontId="15" fillId="0" borderId="0" xfId="2" applyBorder="1" applyAlignment="1"/>
    <xf numFmtId="0" fontId="18" fillId="0" borderId="0" xfId="2" applyFont="1" applyFill="1" applyAlignment="1">
      <alignment horizontal="center" vertical="center"/>
    </xf>
    <xf numFmtId="0" fontId="20" fillId="0" borderId="1" xfId="2" applyFont="1" applyFill="1" applyBorder="1" applyAlignment="1">
      <alignment horizontal="center" vertical="top" wrapText="1"/>
    </xf>
    <xf numFmtId="0" fontId="18" fillId="0" borderId="0" xfId="2" applyFont="1" applyFill="1" applyBorder="1" applyAlignment="1">
      <alignment horizontal="right"/>
    </xf>
    <xf numFmtId="0" fontId="20" fillId="3" borderId="1" xfId="2" applyFont="1" applyFill="1" applyBorder="1" applyAlignment="1">
      <alignment vertical="top" wrapText="1"/>
    </xf>
    <xf numFmtId="0" fontId="20" fillId="3" borderId="1" xfId="2" applyFont="1" applyFill="1" applyBorder="1" applyAlignment="1">
      <alignment horizontal="left" vertical="top" wrapText="1"/>
    </xf>
    <xf numFmtId="14" fontId="20" fillId="3" borderId="2" xfId="2" applyNumberFormat="1" applyFont="1" applyFill="1" applyBorder="1" applyAlignment="1">
      <alignment horizontal="center" vertical="top" wrapText="1"/>
    </xf>
    <xf numFmtId="14" fontId="20" fillId="3" borderId="3" xfId="2" applyNumberFormat="1" applyFont="1" applyFill="1" applyBorder="1" applyAlignment="1">
      <alignment horizontal="center" vertical="top" wrapText="1"/>
    </xf>
    <xf numFmtId="0" fontId="20" fillId="3" borderId="1" xfId="2" applyFont="1" applyFill="1" applyBorder="1" applyAlignment="1">
      <alignment horizontal="center" vertical="top" wrapText="1"/>
    </xf>
    <xf numFmtId="0" fontId="15" fillId="2" borderId="0" xfId="2" applyFill="1"/>
    <xf numFmtId="0" fontId="20" fillId="0" borderId="0" xfId="2" applyFont="1" applyFill="1" applyBorder="1" applyAlignment="1">
      <alignment horizontal="center" vertical="top" wrapText="1"/>
    </xf>
    <xf numFmtId="165" fontId="20" fillId="3" borderId="0" xfId="2" applyNumberFormat="1" applyFont="1" applyFill="1" applyBorder="1" applyAlignment="1">
      <alignment horizontal="center" vertical="top" wrapText="1"/>
    </xf>
    <xf numFmtId="165" fontId="22" fillId="7" borderId="0" xfId="2" applyNumberFormat="1" applyFont="1" applyFill="1" applyBorder="1" applyAlignment="1">
      <alignment horizontal="center" vertical="top" wrapText="1"/>
    </xf>
    <xf numFmtId="165" fontId="22" fillId="0" borderId="0" xfId="2" applyNumberFormat="1" applyFont="1" applyFill="1" applyBorder="1" applyAlignment="1">
      <alignment horizontal="center" vertical="top" wrapText="1"/>
    </xf>
    <xf numFmtId="165" fontId="24" fillId="3" borderId="0" xfId="2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5" fillId="3" borderId="0" xfId="2" applyFont="1" applyFill="1" applyAlignment="1"/>
    <xf numFmtId="0" fontId="15" fillId="3" borderId="0" xfId="2" applyFont="1" applyFill="1" applyAlignment="1">
      <alignment horizontal="center"/>
    </xf>
    <xf numFmtId="0" fontId="17" fillId="3" borderId="0" xfId="2" applyFont="1" applyFill="1" applyAlignment="1"/>
    <xf numFmtId="0" fontId="16" fillId="3" borderId="0" xfId="2" applyFont="1" applyFill="1" applyAlignment="1"/>
    <xf numFmtId="0" fontId="20" fillId="3" borderId="1" xfId="3" applyFont="1" applyFill="1" applyBorder="1" applyAlignment="1" applyProtection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49" fontId="20" fillId="3" borderId="1" xfId="2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49" fontId="22" fillId="3" borderId="1" xfId="2" applyNumberFormat="1" applyFont="1" applyFill="1" applyBorder="1" applyAlignment="1">
      <alignment horizontal="center" vertical="top" wrapText="1"/>
    </xf>
    <xf numFmtId="0" fontId="22" fillId="3" borderId="1" xfId="2" applyFont="1" applyFill="1" applyBorder="1" applyAlignment="1">
      <alignment horizontal="left" vertical="top" wrapText="1"/>
    </xf>
    <xf numFmtId="0" fontId="20" fillId="3" borderId="1" xfId="4" applyNumberFormat="1" applyFont="1" applyFill="1" applyBorder="1" applyAlignment="1" applyProtection="1">
      <alignment horizontal="left" vertical="top" wrapText="1"/>
      <protection hidden="1"/>
    </xf>
    <xf numFmtId="0" fontId="22" fillId="3" borderId="1" xfId="2" applyFont="1" applyFill="1" applyBorder="1" applyAlignment="1">
      <alignment vertical="top" wrapText="1"/>
    </xf>
    <xf numFmtId="0" fontId="22" fillId="3" borderId="1" xfId="2" applyFont="1" applyFill="1" applyBorder="1" applyAlignment="1">
      <alignment horizontal="center" vertical="top" wrapText="1"/>
    </xf>
    <xf numFmtId="165" fontId="22" fillId="3" borderId="1" xfId="2" applyNumberFormat="1" applyFont="1" applyFill="1" applyBorder="1" applyAlignment="1">
      <alignment horizontal="center" vertical="top" wrapText="1"/>
    </xf>
    <xf numFmtId="0" fontId="25" fillId="3" borderId="1" xfId="2" applyFont="1" applyFill="1" applyBorder="1" applyAlignment="1">
      <alignment horizontal="center" vertical="top" wrapText="1"/>
    </xf>
    <xf numFmtId="0" fontId="15" fillId="3" borderId="1" xfId="2" applyFont="1" applyFill="1" applyBorder="1" applyAlignment="1">
      <alignment vertical="top" wrapText="1"/>
    </xf>
    <xf numFmtId="49" fontId="20" fillId="3" borderId="2" xfId="2" applyNumberFormat="1" applyFont="1" applyFill="1" applyBorder="1" applyAlignment="1">
      <alignment horizontal="center" vertical="top" wrapText="1"/>
    </xf>
    <xf numFmtId="165" fontId="20" fillId="3" borderId="6" xfId="2" applyNumberFormat="1" applyFont="1" applyFill="1" applyBorder="1" applyAlignment="1">
      <alignment vertical="top" wrapText="1"/>
    </xf>
    <xf numFmtId="165" fontId="20" fillId="3" borderId="6" xfId="2" applyNumberFormat="1" applyFont="1" applyFill="1" applyBorder="1" applyAlignment="1">
      <alignment horizontal="center" vertical="top" wrapText="1"/>
    </xf>
    <xf numFmtId="0" fontId="19" fillId="3" borderId="1" xfId="2" applyFont="1" applyFill="1" applyBorder="1" applyAlignment="1">
      <alignment horizontal="center" vertical="top" wrapText="1"/>
    </xf>
    <xf numFmtId="0" fontId="20" fillId="3" borderId="3" xfId="2" applyFont="1" applyFill="1" applyBorder="1" applyAlignment="1">
      <alignment horizontal="center" vertical="top" wrapText="1"/>
    </xf>
    <xf numFmtId="49" fontId="20" fillId="3" borderId="3" xfId="2" applyNumberFormat="1" applyFont="1" applyFill="1" applyBorder="1" applyAlignment="1">
      <alignment horizontal="center" vertical="top" wrapText="1"/>
    </xf>
    <xf numFmtId="165" fontId="20" fillId="3" borderId="1" xfId="2" applyNumberFormat="1" applyFont="1" applyFill="1" applyBorder="1" applyAlignment="1">
      <alignment vertical="top" wrapText="1"/>
    </xf>
    <xf numFmtId="0" fontId="15" fillId="3" borderId="1" xfId="2" applyFont="1" applyFill="1" applyBorder="1" applyAlignment="1"/>
    <xf numFmtId="165" fontId="20" fillId="3" borderId="1" xfId="2" applyNumberFormat="1" applyFont="1" applyFill="1" applyBorder="1" applyAlignment="1">
      <alignment horizontal="center" vertical="top"/>
    </xf>
    <xf numFmtId="164" fontId="20" fillId="3" borderId="1" xfId="2" applyNumberFormat="1" applyFont="1" applyFill="1" applyBorder="1" applyAlignment="1">
      <alignment horizontal="center" vertical="top"/>
    </xf>
    <xf numFmtId="49" fontId="15" fillId="3" borderId="1" xfId="2" applyNumberFormat="1" applyFont="1" applyFill="1" applyBorder="1" applyAlignment="1">
      <alignment horizontal="center"/>
    </xf>
    <xf numFmtId="0" fontId="8" fillId="3" borderId="1" xfId="2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5" fontId="26" fillId="3" borderId="1" xfId="2" applyNumberFormat="1" applyFont="1" applyFill="1" applyBorder="1" applyAlignment="1">
      <alignment horizontal="center" vertical="top" wrapText="1"/>
    </xf>
    <xf numFmtId="165" fontId="20" fillId="3" borderId="3" xfId="2" applyNumberFormat="1" applyFont="1" applyFill="1" applyBorder="1" applyAlignment="1">
      <alignment horizontal="center" vertical="top" wrapText="1"/>
    </xf>
    <xf numFmtId="165" fontId="20" fillId="3" borderId="2" xfId="2" applyNumberFormat="1" applyFont="1" applyFill="1" applyBorder="1" applyAlignment="1">
      <alignment horizontal="center" vertical="top" wrapText="1"/>
    </xf>
    <xf numFmtId="165" fontId="20" fillId="3" borderId="7" xfId="2" applyNumberFormat="1" applyFont="1" applyFill="1" applyBorder="1" applyAlignment="1">
      <alignment horizontal="center" vertical="top" wrapText="1"/>
    </xf>
    <xf numFmtId="165" fontId="20" fillId="3" borderId="8" xfId="2" applyNumberFormat="1" applyFont="1" applyFill="1" applyBorder="1" applyAlignment="1">
      <alignment horizontal="center" vertical="top" wrapText="1"/>
    </xf>
    <xf numFmtId="165" fontId="20" fillId="3" borderId="14" xfId="2" applyNumberFormat="1" applyFont="1" applyFill="1" applyBorder="1" applyAlignment="1">
      <alignment horizontal="center" vertical="top" wrapText="1"/>
    </xf>
    <xf numFmtId="165" fontId="20" fillId="3" borderId="11" xfId="2" applyNumberFormat="1" applyFont="1" applyFill="1" applyBorder="1" applyAlignment="1">
      <alignment horizontal="center" vertical="top" wrapText="1"/>
    </xf>
    <xf numFmtId="0" fontId="20" fillId="3" borderId="0" xfId="2" applyFont="1" applyFill="1" applyBorder="1" applyAlignment="1">
      <alignment horizontal="center" vertical="top" wrapText="1"/>
    </xf>
    <xf numFmtId="49" fontId="20" fillId="3" borderId="3" xfId="2" applyNumberFormat="1" applyFont="1" applyFill="1" applyBorder="1" applyAlignment="1">
      <alignment horizontal="center" vertical="top"/>
    </xf>
    <xf numFmtId="165" fontId="22" fillId="3" borderId="0" xfId="2" applyNumberFormat="1" applyFont="1" applyFill="1" applyBorder="1" applyAlignment="1">
      <alignment horizontal="center" vertical="top" wrapText="1"/>
    </xf>
    <xf numFmtId="0" fontId="18" fillId="0" borderId="0" xfId="2" applyFont="1" applyFill="1" applyBorder="1" applyAlignment="1"/>
    <xf numFmtId="49" fontId="18" fillId="3" borderId="0" xfId="2" applyNumberFormat="1" applyFont="1" applyFill="1" applyAlignment="1">
      <alignment horizontal="center"/>
    </xf>
    <xf numFmtId="0" fontId="18" fillId="3" borderId="0" xfId="2" applyFont="1" applyFill="1" applyAlignment="1">
      <alignment horizontal="center" vertical="center"/>
    </xf>
    <xf numFmtId="0" fontId="18" fillId="3" borderId="0" xfId="2" applyFont="1" applyFill="1" applyAlignment="1">
      <alignment horizontal="center"/>
    </xf>
    <xf numFmtId="0" fontId="19" fillId="3" borderId="3" xfId="2" applyFont="1" applyFill="1" applyBorder="1" applyAlignment="1">
      <alignment horizontal="center" vertical="top" wrapText="1"/>
    </xf>
    <xf numFmtId="0" fontId="31" fillId="3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49" fontId="35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49" fontId="36" fillId="3" borderId="2" xfId="0" applyNumberFormat="1" applyFont="1" applyFill="1" applyBorder="1" applyAlignment="1">
      <alignment horizontal="center" vertical="center" wrapText="1"/>
    </xf>
    <xf numFmtId="49" fontId="36" fillId="3" borderId="7" xfId="0" applyNumberFormat="1" applyFont="1" applyFill="1" applyBorder="1" applyAlignment="1">
      <alignment horizontal="center" vertical="center" wrapText="1"/>
    </xf>
    <xf numFmtId="164" fontId="36" fillId="3" borderId="1" xfId="0" applyNumberFormat="1" applyFont="1" applyFill="1" applyBorder="1" applyAlignment="1">
      <alignment horizontal="center" vertical="center" wrapText="1"/>
    </xf>
    <xf numFmtId="164" fontId="36" fillId="3" borderId="2" xfId="0" applyNumberFormat="1" applyFont="1" applyFill="1" applyBorder="1" applyAlignment="1">
      <alignment horizontal="center" vertical="center" textRotation="90" wrapText="1"/>
    </xf>
    <xf numFmtId="164" fontId="39" fillId="3" borderId="1" xfId="0" applyNumberFormat="1" applyFont="1" applyFill="1" applyBorder="1" applyAlignment="1">
      <alignment horizontal="center" vertical="center" textRotation="90" wrapText="1"/>
    </xf>
    <xf numFmtId="164" fontId="36" fillId="3" borderId="1" xfId="0" applyNumberFormat="1" applyFont="1" applyFill="1" applyBorder="1" applyAlignment="1">
      <alignment horizontal="center" vertical="center" textRotation="90" wrapText="1"/>
    </xf>
    <xf numFmtId="0" fontId="36" fillId="3" borderId="1" xfId="0" applyFont="1" applyFill="1" applyBorder="1" applyAlignment="1">
      <alignment horizontal="center" vertical="center"/>
    </xf>
    <xf numFmtId="49" fontId="36" fillId="3" borderId="1" xfId="0" applyNumberFormat="1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left" vertical="center" wrapText="1"/>
    </xf>
    <xf numFmtId="49" fontId="41" fillId="3" borderId="1" xfId="0" applyNumberFormat="1" applyFont="1" applyFill="1" applyBorder="1" applyAlignment="1">
      <alignment horizontal="center" vertical="center" wrapText="1"/>
    </xf>
    <xf numFmtId="165" fontId="41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left" vertical="center" wrapText="1"/>
    </xf>
    <xf numFmtId="49" fontId="35" fillId="3" borderId="1" xfId="0" applyNumberFormat="1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2" fontId="36" fillId="3" borderId="1" xfId="0" applyNumberFormat="1" applyFont="1" applyFill="1" applyBorder="1" applyAlignment="1">
      <alignment horizontal="center" vertical="center"/>
    </xf>
    <xf numFmtId="4" fontId="36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 wrapText="1"/>
    </xf>
    <xf numFmtId="165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165" fontId="28" fillId="3" borderId="2" xfId="0" applyNumberFormat="1" applyFont="1" applyFill="1" applyBorder="1" applyAlignment="1">
      <alignment vertical="center"/>
    </xf>
    <xf numFmtId="165" fontId="28" fillId="3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vertical="center"/>
    </xf>
    <xf numFmtId="0" fontId="28" fillId="3" borderId="2" xfId="0" applyFont="1" applyFill="1" applyBorder="1" applyAlignment="1">
      <alignment horizontal="center" vertical="center"/>
    </xf>
    <xf numFmtId="165" fontId="28" fillId="3" borderId="7" xfId="0" applyNumberFormat="1" applyFont="1" applyFill="1" applyBorder="1" applyAlignment="1">
      <alignment vertical="center"/>
    </xf>
    <xf numFmtId="165" fontId="28" fillId="3" borderId="7" xfId="0" applyNumberFormat="1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vertical="center"/>
    </xf>
    <xf numFmtId="0" fontId="28" fillId="3" borderId="7" xfId="0" applyFont="1" applyFill="1" applyBorder="1" applyAlignment="1">
      <alignment horizontal="center" vertical="center"/>
    </xf>
    <xf numFmtId="165" fontId="28" fillId="3" borderId="3" xfId="0" applyNumberFormat="1" applyFont="1" applyFill="1" applyBorder="1" applyAlignment="1">
      <alignment vertical="center"/>
    </xf>
    <xf numFmtId="165" fontId="28" fillId="3" borderId="3" xfId="0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vertical="center"/>
    </xf>
    <xf numFmtId="0" fontId="28" fillId="3" borderId="3" xfId="0" applyFont="1" applyFill="1" applyBorder="1" applyAlignment="1">
      <alignment horizontal="center" vertical="center"/>
    </xf>
    <xf numFmtId="49" fontId="42" fillId="3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49" fontId="30" fillId="3" borderId="0" xfId="0" applyNumberFormat="1" applyFont="1" applyFill="1" applyAlignment="1">
      <alignment horizontal="center" vertical="center"/>
    </xf>
    <xf numFmtId="0" fontId="43" fillId="3" borderId="0" xfId="0" applyFont="1" applyFill="1"/>
    <xf numFmtId="0" fontId="44" fillId="3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49" fontId="43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left" vertical="top"/>
    </xf>
    <xf numFmtId="0" fontId="36" fillId="3" borderId="1" xfId="0" applyFont="1" applyFill="1" applyBorder="1" applyAlignment="1">
      <alignment horizontal="left" vertical="top"/>
    </xf>
    <xf numFmtId="164" fontId="41" fillId="3" borderId="1" xfId="0" applyNumberFormat="1" applyFont="1" applyFill="1" applyBorder="1" applyAlignment="1">
      <alignment horizontal="left" vertical="top"/>
    </xf>
    <xf numFmtId="164" fontId="28" fillId="3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164" fontId="28" fillId="3" borderId="1" xfId="0" applyNumberFormat="1" applyFont="1" applyFill="1" applyBorder="1" applyAlignment="1">
      <alignment horizontal="left" vertical="top" wrapText="1"/>
    </xf>
    <xf numFmtId="0" fontId="30" fillId="3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43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65" fontId="28" fillId="3" borderId="2" xfId="0" applyNumberFormat="1" applyFont="1" applyFill="1" applyBorder="1" applyAlignment="1">
      <alignment horizontal="center" vertical="center"/>
    </xf>
    <xf numFmtId="165" fontId="28" fillId="3" borderId="7" xfId="0" applyNumberFormat="1" applyFont="1" applyFill="1" applyBorder="1" applyAlignment="1">
      <alignment horizontal="center" vertical="center"/>
    </xf>
    <xf numFmtId="165" fontId="28" fillId="3" borderId="3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165" fontId="28" fillId="3" borderId="2" xfId="0" applyNumberFormat="1" applyFont="1" applyFill="1" applyBorder="1" applyAlignment="1">
      <alignment horizontal="center" vertical="center" wrapText="1"/>
    </xf>
    <xf numFmtId="165" fontId="28" fillId="3" borderId="3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 wrapText="1"/>
    </xf>
    <xf numFmtId="165" fontId="9" fillId="3" borderId="3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top" wrapText="1"/>
    </xf>
    <xf numFmtId="165" fontId="28" fillId="3" borderId="7" xfId="0" applyNumberFormat="1" applyFont="1" applyFill="1" applyBorder="1" applyAlignment="1">
      <alignment horizontal="center" vertical="center" wrapText="1"/>
    </xf>
    <xf numFmtId="165" fontId="9" fillId="3" borderId="7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7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49" fontId="28" fillId="3" borderId="2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center" vertical="center" wrapText="1"/>
    </xf>
    <xf numFmtId="49" fontId="28" fillId="3" borderId="3" xfId="0" applyNumberFormat="1" applyFont="1" applyFill="1" applyBorder="1" applyAlignment="1">
      <alignment horizontal="center" vertical="center" wrapText="1"/>
    </xf>
    <xf numFmtId="165" fontId="28" fillId="3" borderId="2" xfId="0" applyNumberFormat="1" applyFont="1" applyFill="1" applyBorder="1" applyAlignment="1">
      <alignment horizontal="left" vertical="top" wrapText="1"/>
    </xf>
    <xf numFmtId="165" fontId="28" fillId="3" borderId="7" xfId="0" applyNumberFormat="1" applyFont="1" applyFill="1" applyBorder="1" applyAlignment="1">
      <alignment horizontal="left" vertical="top" wrapText="1"/>
    </xf>
    <xf numFmtId="165" fontId="28" fillId="3" borderId="3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30" fillId="3" borderId="0" xfId="0" applyFont="1" applyFill="1" applyAlignment="1">
      <alignment horizontal="left" vertical="center" wrapText="1"/>
    </xf>
    <xf numFmtId="164" fontId="36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left" vertical="top" wrapText="1"/>
    </xf>
    <xf numFmtId="0" fontId="36" fillId="3" borderId="2" xfId="0" applyFont="1" applyFill="1" applyBorder="1" applyAlignment="1">
      <alignment horizontal="left" vertical="top" wrapText="1"/>
    </xf>
    <xf numFmtId="164" fontId="36" fillId="3" borderId="4" xfId="0" applyNumberFormat="1" applyFont="1" applyFill="1" applyBorder="1" applyAlignment="1">
      <alignment horizontal="center" vertical="center" wrapText="1"/>
    </xf>
    <xf numFmtId="164" fontId="36" fillId="3" borderId="5" xfId="0" applyNumberFormat="1" applyFont="1" applyFill="1" applyBorder="1" applyAlignment="1">
      <alignment horizontal="center" vertical="center" wrapText="1"/>
    </xf>
    <xf numFmtId="164" fontId="36" fillId="3" borderId="6" xfId="0" applyNumberFormat="1" applyFont="1" applyFill="1" applyBorder="1" applyAlignment="1">
      <alignment horizontal="center" vertical="center" wrapText="1"/>
    </xf>
    <xf numFmtId="164" fontId="36" fillId="3" borderId="8" xfId="0" applyNumberFormat="1" applyFont="1" applyFill="1" applyBorder="1" applyAlignment="1">
      <alignment horizontal="center" vertical="center" wrapText="1"/>
    </xf>
    <xf numFmtId="164" fontId="36" fillId="3" borderId="9" xfId="0" applyNumberFormat="1" applyFont="1" applyFill="1" applyBorder="1" applyAlignment="1">
      <alignment horizontal="center" vertical="center" wrapText="1"/>
    </xf>
    <xf numFmtId="164" fontId="36" fillId="3" borderId="10" xfId="0" applyNumberFormat="1" applyFont="1" applyFill="1" applyBorder="1" applyAlignment="1">
      <alignment horizontal="center" vertical="center" wrapText="1"/>
    </xf>
    <xf numFmtId="164" fontId="36" fillId="3" borderId="11" xfId="0" applyNumberFormat="1" applyFont="1" applyFill="1" applyBorder="1" applyAlignment="1">
      <alignment horizontal="center" vertical="center" wrapText="1"/>
    </xf>
    <xf numFmtId="164" fontId="36" fillId="3" borderId="12" xfId="0" applyNumberFormat="1" applyFont="1" applyFill="1" applyBorder="1" applyAlignment="1">
      <alignment horizontal="center" vertical="center" wrapText="1"/>
    </xf>
    <xf numFmtId="164" fontId="36" fillId="3" borderId="13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164" fontId="28" fillId="3" borderId="2" xfId="0" applyNumberFormat="1" applyFont="1" applyFill="1" applyBorder="1" applyAlignment="1">
      <alignment horizontal="left" vertical="top" wrapText="1"/>
    </xf>
    <xf numFmtId="164" fontId="28" fillId="3" borderId="7" xfId="0" applyNumberFormat="1" applyFont="1" applyFill="1" applyBorder="1" applyAlignment="1">
      <alignment horizontal="left" vertical="top" wrapText="1"/>
    </xf>
    <xf numFmtId="164" fontId="28" fillId="3" borderId="3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64" fontId="36" fillId="3" borderId="2" xfId="0" applyNumberFormat="1" applyFont="1" applyFill="1" applyBorder="1" applyAlignment="1">
      <alignment horizontal="center" vertical="center" wrapText="1"/>
    </xf>
    <xf numFmtId="164" fontId="36" fillId="3" borderId="7" xfId="0" applyNumberFormat="1" applyFont="1" applyFill="1" applyBorder="1" applyAlignment="1">
      <alignment horizontal="center" vertical="center" wrapText="1"/>
    </xf>
    <xf numFmtId="164" fontId="36" fillId="3" borderId="3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/>
    </xf>
    <xf numFmtId="49" fontId="28" fillId="3" borderId="9" xfId="0" applyNumberFormat="1" applyFont="1" applyFill="1" applyBorder="1" applyAlignment="1">
      <alignment horizontal="left" vertical="center" wrapText="1"/>
    </xf>
    <xf numFmtId="49" fontId="34" fillId="3" borderId="9" xfId="0" applyNumberFormat="1" applyFont="1" applyFill="1" applyBorder="1" applyAlignment="1">
      <alignment horizontal="left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top" wrapText="1"/>
    </xf>
    <xf numFmtId="0" fontId="20" fillId="3" borderId="5" xfId="2" applyFont="1" applyFill="1" applyBorder="1" applyAlignment="1">
      <alignment horizontal="center" vertical="top" wrapText="1"/>
    </xf>
    <xf numFmtId="0" fontId="20" fillId="3" borderId="6" xfId="2" applyFont="1" applyFill="1" applyBorder="1" applyAlignment="1">
      <alignment horizontal="center" vertical="top" wrapText="1"/>
    </xf>
    <xf numFmtId="0" fontId="20" fillId="3" borderId="8" xfId="2" applyFont="1" applyFill="1" applyBorder="1" applyAlignment="1">
      <alignment horizontal="center" vertical="top" wrapText="1"/>
    </xf>
    <xf numFmtId="0" fontId="20" fillId="3" borderId="9" xfId="2" applyFont="1" applyFill="1" applyBorder="1" applyAlignment="1">
      <alignment horizontal="center" vertical="top" wrapText="1"/>
    </xf>
    <xf numFmtId="165" fontId="20" fillId="3" borderId="8" xfId="2" applyNumberFormat="1" applyFont="1" applyFill="1" applyBorder="1" applyAlignment="1">
      <alignment horizontal="center" vertical="top" wrapText="1"/>
    </xf>
    <xf numFmtId="165" fontId="20" fillId="3" borderId="14" xfId="2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5" fontId="20" fillId="3" borderId="2" xfId="2" applyNumberFormat="1" applyFont="1" applyFill="1" applyBorder="1" applyAlignment="1">
      <alignment horizontal="center" vertical="top" wrapText="1"/>
    </xf>
    <xf numFmtId="165" fontId="20" fillId="3" borderId="7" xfId="2" applyNumberFormat="1" applyFont="1" applyFill="1" applyBorder="1" applyAlignment="1">
      <alignment horizontal="center" vertical="top" wrapText="1"/>
    </xf>
    <xf numFmtId="165" fontId="20" fillId="3" borderId="3" xfId="2" applyNumberFormat="1" applyFont="1" applyFill="1" applyBorder="1" applyAlignment="1">
      <alignment horizontal="center" vertical="top" wrapText="1"/>
    </xf>
    <xf numFmtId="0" fontId="20" fillId="3" borderId="14" xfId="2" applyFont="1" applyFill="1" applyBorder="1" applyAlignment="1">
      <alignment horizontal="center" vertical="top" wrapText="1"/>
    </xf>
    <xf numFmtId="0" fontId="20" fillId="3" borderId="0" xfId="2" applyFont="1" applyFill="1" applyBorder="1" applyAlignment="1">
      <alignment horizontal="center" vertical="top" wrapText="1"/>
    </xf>
    <xf numFmtId="0" fontId="20" fillId="3" borderId="1" xfId="2" applyFont="1" applyFill="1" applyBorder="1" applyAlignment="1">
      <alignment horizontal="center" vertical="top" wrapText="1"/>
    </xf>
    <xf numFmtId="0" fontId="15" fillId="3" borderId="1" xfId="2" applyFont="1" applyFill="1" applyBorder="1" applyAlignment="1">
      <alignment horizontal="center" vertical="top" wrapText="1"/>
    </xf>
    <xf numFmtId="14" fontId="20" fillId="3" borderId="1" xfId="2" applyNumberFormat="1" applyFont="1" applyFill="1" applyBorder="1" applyAlignment="1">
      <alignment horizontal="center" vertical="top" wrapText="1"/>
    </xf>
    <xf numFmtId="165" fontId="24" fillId="3" borderId="1" xfId="2" applyNumberFormat="1" applyFont="1" applyFill="1" applyBorder="1" applyAlignment="1">
      <alignment horizontal="center" vertical="top" wrapText="1"/>
    </xf>
    <xf numFmtId="165" fontId="24" fillId="3" borderId="2" xfId="2" applyNumberFormat="1" applyFont="1" applyFill="1" applyBorder="1" applyAlignment="1">
      <alignment horizontal="center" vertical="top" wrapText="1"/>
    </xf>
    <xf numFmtId="165" fontId="24" fillId="3" borderId="3" xfId="2" applyNumberFormat="1" applyFont="1" applyFill="1" applyBorder="1" applyAlignment="1">
      <alignment horizontal="center" vertical="top" wrapText="1"/>
    </xf>
    <xf numFmtId="165" fontId="20" fillId="3" borderId="11" xfId="2" applyNumberFormat="1" applyFont="1" applyFill="1" applyBorder="1" applyAlignment="1">
      <alignment horizontal="center" vertical="top" wrapText="1"/>
    </xf>
    <xf numFmtId="49" fontId="20" fillId="3" borderId="1" xfId="2" applyNumberFormat="1" applyFont="1" applyFill="1" applyBorder="1" applyAlignment="1">
      <alignment horizontal="center" vertical="top" wrapText="1"/>
    </xf>
    <xf numFmtId="0" fontId="15" fillId="3" borderId="1" xfId="2" applyFont="1" applyFill="1" applyBorder="1" applyAlignment="1">
      <alignment horizontal="center"/>
    </xf>
    <xf numFmtId="0" fontId="20" fillId="3" borderId="1" xfId="2" applyFont="1" applyFill="1" applyBorder="1" applyAlignment="1">
      <alignment horizontal="left" vertical="top" wrapText="1"/>
    </xf>
    <xf numFmtId="0" fontId="15" fillId="3" borderId="1" xfId="2" applyFont="1" applyFill="1" applyBorder="1" applyAlignment="1"/>
    <xf numFmtId="0" fontId="18" fillId="0" borderId="0" xfId="2" applyFont="1" applyBorder="1" applyAlignment="1">
      <alignment horizontal="center" vertical="center" textRotation="180"/>
    </xf>
    <xf numFmtId="0" fontId="15" fillId="0" borderId="0" xfId="2" applyAlignment="1">
      <alignment vertical="center" textRotation="180"/>
    </xf>
    <xf numFmtId="0" fontId="15" fillId="0" borderId="0" xfId="2" applyBorder="1" applyAlignment="1"/>
    <xf numFmtId="49" fontId="18" fillId="0" borderId="0" xfId="2" applyNumberFormat="1" applyFont="1" applyFill="1" applyAlignment="1">
      <alignment horizontal="left" wrapText="1"/>
    </xf>
    <xf numFmtId="0" fontId="19" fillId="3" borderId="1" xfId="2" applyFont="1" applyFill="1" applyBorder="1" applyAlignment="1">
      <alignment horizontal="center" vertical="top" wrapText="1"/>
    </xf>
    <xf numFmtId="0" fontId="20" fillId="3" borderId="1" xfId="2" applyFont="1" applyFill="1" applyBorder="1" applyAlignment="1">
      <alignment vertical="top" wrapText="1"/>
    </xf>
    <xf numFmtId="0" fontId="19" fillId="3" borderId="1" xfId="2" applyFont="1" applyFill="1" applyBorder="1" applyAlignment="1">
      <alignment vertical="top" wrapText="1"/>
    </xf>
    <xf numFmtId="14" fontId="20" fillId="3" borderId="2" xfId="2" applyNumberFormat="1" applyFont="1" applyFill="1" applyBorder="1" applyAlignment="1">
      <alignment horizontal="center" vertical="top" wrapText="1"/>
    </xf>
    <xf numFmtId="14" fontId="20" fillId="3" borderId="7" xfId="2" applyNumberFormat="1" applyFont="1" applyFill="1" applyBorder="1" applyAlignment="1">
      <alignment horizontal="center" vertical="top" wrapText="1"/>
    </xf>
    <xf numFmtId="14" fontId="20" fillId="3" borderId="3" xfId="2" applyNumberFormat="1" applyFont="1" applyFill="1" applyBorder="1" applyAlignment="1">
      <alignment horizontal="center" vertical="top" wrapText="1"/>
    </xf>
    <xf numFmtId="0" fontId="20" fillId="3" borderId="2" xfId="2" applyFont="1" applyFill="1" applyBorder="1" applyAlignment="1">
      <alignment horizontal="center" vertical="top" wrapText="1"/>
    </xf>
    <xf numFmtId="0" fontId="20" fillId="3" borderId="3" xfId="2" applyFont="1" applyFill="1" applyBorder="1" applyAlignment="1">
      <alignment horizontal="center" vertical="top" wrapText="1"/>
    </xf>
    <xf numFmtId="0" fontId="20" fillId="3" borderId="2" xfId="2" applyFont="1" applyFill="1" applyBorder="1" applyAlignment="1">
      <alignment horizontal="left" vertical="top" wrapText="1"/>
    </xf>
    <xf numFmtId="0" fontId="20" fillId="3" borderId="3" xfId="2" applyFont="1" applyFill="1" applyBorder="1" applyAlignment="1">
      <alignment horizontal="left" vertical="top" wrapText="1"/>
    </xf>
    <xf numFmtId="0" fontId="15" fillId="3" borderId="1" xfId="2" applyFont="1" applyFill="1" applyBorder="1" applyAlignment="1">
      <alignment vertical="top" wrapText="1"/>
    </xf>
    <xf numFmtId="0" fontId="19" fillId="3" borderId="1" xfId="2" applyFont="1" applyFill="1" applyBorder="1" applyAlignment="1">
      <alignment horizontal="left" vertical="top" wrapText="1"/>
    </xf>
    <xf numFmtId="165" fontId="20" fillId="3" borderId="1" xfId="2" applyNumberFormat="1" applyFont="1" applyFill="1" applyBorder="1" applyAlignment="1">
      <alignment horizontal="center" vertical="top" wrapText="1"/>
    </xf>
    <xf numFmtId="0" fontId="20" fillId="3" borderId="7" xfId="2" applyFont="1" applyFill="1" applyBorder="1" applyAlignment="1">
      <alignment horizontal="left" vertical="top" wrapText="1"/>
    </xf>
    <xf numFmtId="0" fontId="15" fillId="3" borderId="1" xfId="2" applyFont="1" applyFill="1" applyBorder="1" applyAlignment="1">
      <alignment horizontal="left" vertical="top" wrapText="1"/>
    </xf>
    <xf numFmtId="49" fontId="20" fillId="3" borderId="1" xfId="2" applyNumberFormat="1" applyFont="1" applyFill="1" applyBorder="1" applyAlignment="1">
      <alignment horizontal="center" vertical="top"/>
    </xf>
    <xf numFmtId="0" fontId="15" fillId="3" borderId="1" xfId="2" applyFont="1" applyFill="1" applyBorder="1" applyAlignment="1">
      <alignment horizontal="center" vertical="top"/>
    </xf>
    <xf numFmtId="0" fontId="19" fillId="3" borderId="1" xfId="2" applyFont="1" applyFill="1" applyBorder="1" applyAlignment="1">
      <alignment horizontal="center"/>
    </xf>
    <xf numFmtId="0" fontId="20" fillId="3" borderId="1" xfId="3" applyFont="1" applyFill="1" applyBorder="1" applyAlignment="1" applyProtection="1">
      <alignment horizontal="center" vertical="center" wrapText="1"/>
    </xf>
    <xf numFmtId="49" fontId="20" fillId="3" borderId="1" xfId="3" applyNumberFormat="1" applyFont="1" applyFill="1" applyBorder="1" applyAlignment="1" applyProtection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5" fillId="0" borderId="0" xfId="2" applyAlignment="1"/>
    <xf numFmtId="49" fontId="29" fillId="3" borderId="0" xfId="2" applyNumberFormat="1" applyFont="1" applyFill="1" applyAlignment="1">
      <alignment horizontal="center"/>
    </xf>
    <xf numFmtId="0" fontId="29" fillId="3" borderId="0" xfId="2" applyFont="1" applyFill="1" applyAlignment="1">
      <alignment horizontal="center" vertical="center"/>
    </xf>
    <xf numFmtId="0" fontId="29" fillId="3" borderId="0" xfId="2" applyFont="1" applyFill="1" applyAlignment="1">
      <alignment horizontal="center"/>
    </xf>
    <xf numFmtId="49" fontId="20" fillId="3" borderId="1" xfId="2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3" borderId="4" xfId="3" applyFont="1" applyFill="1" applyBorder="1" applyAlignment="1" applyProtection="1">
      <alignment horizontal="center" vertical="center" wrapText="1"/>
    </xf>
    <xf numFmtId="0" fontId="20" fillId="3" borderId="5" xfId="3" applyFont="1" applyFill="1" applyBorder="1" applyAlignment="1" applyProtection="1">
      <alignment horizontal="center" vertical="center" wrapText="1"/>
    </xf>
    <xf numFmtId="0" fontId="20" fillId="3" borderId="6" xfId="3" applyFont="1" applyFill="1" applyBorder="1" applyAlignment="1" applyProtection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</cellXfs>
  <cellStyles count="5">
    <cellStyle name="Гиперссылка" xfId="3" builtinId="8"/>
    <cellStyle name="Обычный" xfId="0" builtinId="0"/>
    <cellStyle name="Обычный 2" xfId="2"/>
    <cellStyle name="Обычный 2 2" xfId="4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296E051552D9B0DE54C4EEA366783458DCF3E2F270B1C5BE0EE0B1036681A6753D4434517D8E791EF555ABSAVC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133"/>
  <sheetViews>
    <sheetView tabSelected="1" view="pageBreakPreview" zoomScale="36" zoomScaleNormal="84" zoomScaleSheetLayoutView="36" zoomScalePageLayoutView="70" workbookViewId="0">
      <selection activeCell="A30" sqref="A30:A32"/>
    </sheetView>
  </sheetViews>
  <sheetFormatPr defaultColWidth="9.109375" defaultRowHeight="14.4" x14ac:dyDescent="0.3"/>
  <cols>
    <col min="1" max="1" width="11.33203125" style="35" customWidth="1"/>
    <col min="2" max="2" width="53" style="35" customWidth="1"/>
    <col min="3" max="3" width="24.33203125" style="36" hidden="1" customWidth="1"/>
    <col min="4" max="4" width="20.33203125" style="214" customWidth="1"/>
    <col min="5" max="5" width="19.21875" style="37" customWidth="1"/>
    <col min="6" max="6" width="17.77734375" style="37" customWidth="1"/>
    <col min="7" max="7" width="13.5546875" style="37" customWidth="1"/>
    <col min="8" max="8" width="13.44140625" style="37" customWidth="1"/>
    <col min="9" max="9" width="14.77734375" style="37" customWidth="1"/>
    <col min="10" max="10" width="16.88671875" style="37" customWidth="1"/>
    <col min="11" max="11" width="11.88671875" style="37" customWidth="1"/>
    <col min="12" max="12" width="22.44140625" style="37" customWidth="1"/>
    <col min="13" max="13" width="14.21875" style="37" customWidth="1"/>
    <col min="14" max="14" width="15.33203125" style="37" customWidth="1"/>
    <col min="15" max="15" width="15.21875" style="37" customWidth="1"/>
    <col min="16" max="16" width="7.21875" style="37" customWidth="1"/>
    <col min="17" max="17" width="15.21875" style="37" customWidth="1"/>
    <col min="18" max="18" width="6.109375" style="37" customWidth="1"/>
    <col min="19" max="19" width="7" style="37" customWidth="1"/>
    <col min="20" max="20" width="6.5546875" style="37" customWidth="1"/>
    <col min="21" max="21" width="15.33203125" style="35" customWidth="1"/>
    <col min="22" max="22" width="14.5546875" style="35" customWidth="1"/>
    <col min="23" max="23" width="11.88671875" style="35" customWidth="1"/>
    <col min="24" max="24" width="18.77734375" style="35" customWidth="1"/>
    <col min="25" max="25" width="19.88671875" style="35" customWidth="1"/>
    <col min="26" max="26" width="13.21875" style="35" customWidth="1"/>
    <col min="27" max="27" width="18.33203125" style="35" customWidth="1"/>
    <col min="28" max="28" width="28.77734375" style="35" customWidth="1"/>
    <col min="29" max="29" width="9.109375" style="7"/>
    <col min="30" max="30" width="14.109375" style="7" customWidth="1"/>
    <col min="31" max="16384" width="9.109375" style="7"/>
  </cols>
  <sheetData>
    <row r="1" spans="1:30" ht="15.6" x14ac:dyDescent="0.3">
      <c r="A1" s="273" t="s">
        <v>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</row>
    <row r="2" spans="1:30" ht="15.6" x14ac:dyDescent="0.3">
      <c r="A2" s="273" t="s">
        <v>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</row>
    <row r="3" spans="1:30" ht="17.399999999999999" x14ac:dyDescent="0.3">
      <c r="A3" s="274" t="s">
        <v>264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</row>
    <row r="4" spans="1:30" ht="18" x14ac:dyDescent="0.3">
      <c r="A4" s="275" t="s">
        <v>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</row>
    <row r="5" spans="1:30" ht="18" x14ac:dyDescent="0.3">
      <c r="A5" s="276" t="s">
        <v>295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</row>
    <row r="6" spans="1:30" ht="18" x14ac:dyDescent="0.3">
      <c r="A6" s="150"/>
      <c r="B6" s="151"/>
      <c r="C6" s="152"/>
      <c r="D6" s="205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3"/>
      <c r="V6" s="150"/>
      <c r="W6" s="150"/>
      <c r="X6" s="150"/>
      <c r="Y6" s="150"/>
      <c r="Z6" s="150"/>
      <c r="AA6" s="150"/>
      <c r="AB6" s="150"/>
    </row>
    <row r="7" spans="1:30" ht="40.799999999999997" customHeight="1" x14ac:dyDescent="0.3">
      <c r="A7" s="253" t="s">
        <v>517</v>
      </c>
      <c r="B7" s="253" t="s">
        <v>29</v>
      </c>
      <c r="C7" s="155"/>
      <c r="D7" s="256" t="s">
        <v>9</v>
      </c>
      <c r="E7" s="261" t="s">
        <v>23</v>
      </c>
      <c r="F7" s="262"/>
      <c r="G7" s="262"/>
      <c r="H7" s="262"/>
      <c r="I7" s="263"/>
      <c r="J7" s="258" t="s">
        <v>30</v>
      </c>
      <c r="K7" s="259"/>
      <c r="L7" s="259"/>
      <c r="M7" s="259"/>
      <c r="N7" s="260"/>
      <c r="O7" s="261" t="s">
        <v>22</v>
      </c>
      <c r="P7" s="262"/>
      <c r="Q7" s="262"/>
      <c r="R7" s="262"/>
      <c r="S7" s="262"/>
      <c r="T7" s="263"/>
      <c r="U7" s="277" t="s">
        <v>518</v>
      </c>
      <c r="V7" s="225" t="s">
        <v>519</v>
      </c>
      <c r="W7" s="261" t="s">
        <v>15</v>
      </c>
      <c r="X7" s="262"/>
      <c r="Y7" s="262"/>
      <c r="Z7" s="263"/>
      <c r="AA7" s="225" t="s">
        <v>520</v>
      </c>
      <c r="AB7" s="225" t="s">
        <v>521</v>
      </c>
    </row>
    <row r="8" spans="1:30" ht="124.2" customHeight="1" x14ac:dyDescent="0.3">
      <c r="A8" s="254"/>
      <c r="B8" s="254"/>
      <c r="C8" s="156"/>
      <c r="D8" s="257"/>
      <c r="E8" s="264"/>
      <c r="F8" s="265"/>
      <c r="G8" s="265"/>
      <c r="H8" s="265"/>
      <c r="I8" s="266"/>
      <c r="J8" s="252" t="s">
        <v>34</v>
      </c>
      <c r="K8" s="252"/>
      <c r="L8" s="252"/>
      <c r="M8" s="252"/>
      <c r="N8" s="157" t="s">
        <v>24</v>
      </c>
      <c r="O8" s="264"/>
      <c r="P8" s="265"/>
      <c r="Q8" s="265"/>
      <c r="R8" s="265"/>
      <c r="S8" s="265"/>
      <c r="T8" s="266"/>
      <c r="U8" s="278"/>
      <c r="V8" s="235"/>
      <c r="W8" s="264"/>
      <c r="X8" s="265"/>
      <c r="Y8" s="265"/>
      <c r="Z8" s="266"/>
      <c r="AA8" s="235"/>
      <c r="AB8" s="235"/>
    </row>
    <row r="9" spans="1:30" ht="144.6" customHeight="1" x14ac:dyDescent="0.3">
      <c r="A9" s="255"/>
      <c r="B9" s="255"/>
      <c r="C9" s="156"/>
      <c r="D9" s="257"/>
      <c r="E9" s="158" t="s">
        <v>25</v>
      </c>
      <c r="F9" s="158" t="s">
        <v>0</v>
      </c>
      <c r="G9" s="159" t="s">
        <v>522</v>
      </c>
      <c r="H9" s="160" t="s">
        <v>1</v>
      </c>
      <c r="I9" s="160" t="s">
        <v>26</v>
      </c>
      <c r="J9" s="160" t="s">
        <v>25</v>
      </c>
      <c r="K9" s="159" t="s">
        <v>523</v>
      </c>
      <c r="L9" s="160" t="s">
        <v>0</v>
      </c>
      <c r="M9" s="159" t="s">
        <v>522</v>
      </c>
      <c r="N9" s="160" t="s">
        <v>1</v>
      </c>
      <c r="O9" s="160" t="s">
        <v>25</v>
      </c>
      <c r="P9" s="159" t="s">
        <v>523</v>
      </c>
      <c r="Q9" s="160" t="s">
        <v>0</v>
      </c>
      <c r="R9" s="159" t="s">
        <v>522</v>
      </c>
      <c r="S9" s="160" t="s">
        <v>1</v>
      </c>
      <c r="T9" s="160" t="s">
        <v>26</v>
      </c>
      <c r="U9" s="279"/>
      <c r="V9" s="226"/>
      <c r="W9" s="158" t="s">
        <v>18</v>
      </c>
      <c r="X9" s="158" t="s">
        <v>19</v>
      </c>
      <c r="Y9" s="158" t="s">
        <v>20</v>
      </c>
      <c r="Z9" s="158" t="s">
        <v>21</v>
      </c>
      <c r="AA9" s="226"/>
      <c r="AB9" s="226"/>
      <c r="AD9" s="9"/>
    </row>
    <row r="10" spans="1:30" ht="18" x14ac:dyDescent="0.3">
      <c r="A10" s="161">
        <v>1</v>
      </c>
      <c r="B10" s="161">
        <v>2</v>
      </c>
      <c r="C10" s="162"/>
      <c r="D10" s="206">
        <v>3</v>
      </c>
      <c r="E10" s="161">
        <v>4</v>
      </c>
      <c r="F10" s="161">
        <v>5</v>
      </c>
      <c r="G10" s="161">
        <v>6</v>
      </c>
      <c r="H10" s="161">
        <v>7</v>
      </c>
      <c r="I10" s="161">
        <v>8</v>
      </c>
      <c r="J10" s="161">
        <v>9</v>
      </c>
      <c r="K10" s="161">
        <v>10</v>
      </c>
      <c r="L10" s="161">
        <v>11</v>
      </c>
      <c r="M10" s="161">
        <v>12</v>
      </c>
      <c r="N10" s="161">
        <v>13</v>
      </c>
      <c r="O10" s="161">
        <v>14</v>
      </c>
      <c r="P10" s="161">
        <v>15</v>
      </c>
      <c r="Q10" s="161">
        <v>16</v>
      </c>
      <c r="R10" s="161">
        <v>17</v>
      </c>
      <c r="S10" s="161">
        <v>18</v>
      </c>
      <c r="T10" s="161">
        <v>19</v>
      </c>
      <c r="U10" s="161">
        <v>20</v>
      </c>
      <c r="V10" s="161">
        <v>21</v>
      </c>
      <c r="W10" s="161">
        <v>22</v>
      </c>
      <c r="X10" s="161">
        <v>23</v>
      </c>
      <c r="Y10" s="161">
        <v>24</v>
      </c>
      <c r="Z10" s="161">
        <v>25</v>
      </c>
      <c r="AA10" s="161">
        <v>26</v>
      </c>
      <c r="AB10" s="161">
        <v>27</v>
      </c>
    </row>
    <row r="11" spans="1:30" ht="106.2" customHeight="1" x14ac:dyDescent="0.3">
      <c r="A11" s="163"/>
      <c r="B11" s="164" t="s">
        <v>31</v>
      </c>
      <c r="C11" s="165"/>
      <c r="D11" s="207"/>
      <c r="E11" s="166">
        <f>E12+E16+E63+E86</f>
        <v>7895557.8000000007</v>
      </c>
      <c r="F11" s="166">
        <f t="shared" ref="F11:T11" si="0">F12+F16+F63+F86</f>
        <v>33906945.899999999</v>
      </c>
      <c r="G11" s="166">
        <f t="shared" si="0"/>
        <v>0</v>
      </c>
      <c r="H11" s="166">
        <f t="shared" si="0"/>
        <v>0</v>
      </c>
      <c r="I11" s="166">
        <f>I12+I16+I63+I86</f>
        <v>18440.7</v>
      </c>
      <c r="J11" s="166">
        <f t="shared" si="0"/>
        <v>7895557.8000000007</v>
      </c>
      <c r="K11" s="166">
        <f t="shared" si="0"/>
        <v>0</v>
      </c>
      <c r="L11" s="166">
        <f>L12+L16+L63+L86</f>
        <v>34477473.599999994</v>
      </c>
      <c r="M11" s="166">
        <f t="shared" si="0"/>
        <v>0</v>
      </c>
      <c r="N11" s="166">
        <f t="shared" si="0"/>
        <v>0</v>
      </c>
      <c r="O11" s="166">
        <f t="shared" si="0"/>
        <v>4212172.3999999994</v>
      </c>
      <c r="P11" s="166">
        <f t="shared" si="0"/>
        <v>0</v>
      </c>
      <c r="Q11" s="166">
        <f>Q12+Q16+Q63+Q86</f>
        <v>6219586</v>
      </c>
      <c r="R11" s="166">
        <f t="shared" si="0"/>
        <v>0</v>
      </c>
      <c r="S11" s="166">
        <f t="shared" si="0"/>
        <v>0</v>
      </c>
      <c r="T11" s="166">
        <f t="shared" si="0"/>
        <v>0</v>
      </c>
      <c r="U11" s="163" t="s">
        <v>508</v>
      </c>
      <c r="V11" s="161" t="s">
        <v>13</v>
      </c>
      <c r="W11" s="161" t="s">
        <v>13</v>
      </c>
      <c r="X11" s="161" t="s">
        <v>13</v>
      </c>
      <c r="Y11" s="161" t="s">
        <v>13</v>
      </c>
      <c r="Z11" s="161" t="s">
        <v>13</v>
      </c>
      <c r="AA11" s="161" t="s">
        <v>13</v>
      </c>
      <c r="AB11" s="161" t="s">
        <v>13</v>
      </c>
    </row>
    <row r="12" spans="1:30" ht="106.2" customHeight="1" x14ac:dyDescent="0.3">
      <c r="A12" s="167"/>
      <c r="B12" s="168" t="s">
        <v>27</v>
      </c>
      <c r="C12" s="169"/>
      <c r="D12" s="208"/>
      <c r="E12" s="170">
        <f>E13</f>
        <v>0</v>
      </c>
      <c r="F12" s="170">
        <f t="shared" ref="F12:T12" si="1">F13</f>
        <v>1364438.6</v>
      </c>
      <c r="G12" s="170">
        <f t="shared" si="1"/>
        <v>0</v>
      </c>
      <c r="H12" s="170">
        <f t="shared" si="1"/>
        <v>0</v>
      </c>
      <c r="I12" s="170">
        <f t="shared" si="1"/>
        <v>0</v>
      </c>
      <c r="J12" s="170">
        <f t="shared" si="1"/>
        <v>0</v>
      </c>
      <c r="K12" s="170">
        <f t="shared" si="1"/>
        <v>0</v>
      </c>
      <c r="L12" s="170">
        <f t="shared" si="1"/>
        <v>1363110.6</v>
      </c>
      <c r="M12" s="170">
        <f t="shared" si="1"/>
        <v>0</v>
      </c>
      <c r="N12" s="170">
        <f t="shared" si="1"/>
        <v>0</v>
      </c>
      <c r="O12" s="170">
        <f t="shared" si="1"/>
        <v>0</v>
      </c>
      <c r="P12" s="170">
        <f t="shared" si="1"/>
        <v>0</v>
      </c>
      <c r="Q12" s="170">
        <f t="shared" si="1"/>
        <v>266381.5</v>
      </c>
      <c r="R12" s="170">
        <f t="shared" si="1"/>
        <v>0</v>
      </c>
      <c r="S12" s="170">
        <f t="shared" si="1"/>
        <v>0</v>
      </c>
      <c r="T12" s="170">
        <f t="shared" si="1"/>
        <v>0</v>
      </c>
      <c r="U12" s="167"/>
      <c r="V12" s="161" t="s">
        <v>13</v>
      </c>
      <c r="W12" s="161" t="s">
        <v>13</v>
      </c>
      <c r="X12" s="161" t="s">
        <v>13</v>
      </c>
      <c r="Y12" s="161" t="s">
        <v>13</v>
      </c>
      <c r="Z12" s="161" t="s">
        <v>13</v>
      </c>
      <c r="AA12" s="161" t="s">
        <v>13</v>
      </c>
      <c r="AB12" s="161" t="s">
        <v>13</v>
      </c>
    </row>
    <row r="13" spans="1:30" ht="74.400000000000006" customHeight="1" x14ac:dyDescent="0.3">
      <c r="A13" s="218" t="s">
        <v>199</v>
      </c>
      <c r="B13" s="280" t="s">
        <v>35</v>
      </c>
      <c r="C13" s="267" t="s">
        <v>260</v>
      </c>
      <c r="D13" s="270" t="s">
        <v>394</v>
      </c>
      <c r="E13" s="215"/>
      <c r="F13" s="223">
        <v>1364438.6</v>
      </c>
      <c r="G13" s="215"/>
      <c r="H13" s="215"/>
      <c r="I13" s="215"/>
      <c r="J13" s="215"/>
      <c r="K13" s="215"/>
      <c r="L13" s="215">
        <v>1363110.6</v>
      </c>
      <c r="M13" s="215"/>
      <c r="N13" s="215"/>
      <c r="O13" s="215"/>
      <c r="P13" s="215"/>
      <c r="Q13" s="215">
        <v>266381.5</v>
      </c>
      <c r="R13" s="215"/>
      <c r="S13" s="215"/>
      <c r="T13" s="215"/>
      <c r="U13" s="215"/>
      <c r="V13" s="232" t="s">
        <v>13</v>
      </c>
      <c r="W13" s="232" t="s">
        <v>13</v>
      </c>
      <c r="X13" s="232" t="s">
        <v>13</v>
      </c>
      <c r="Y13" s="232" t="s">
        <v>13</v>
      </c>
      <c r="Z13" s="232" t="s">
        <v>13</v>
      </c>
      <c r="AA13" s="232" t="s">
        <v>13</v>
      </c>
      <c r="AB13" s="232" t="s">
        <v>13</v>
      </c>
    </row>
    <row r="14" spans="1:30" ht="64.2" customHeight="1" x14ac:dyDescent="0.3">
      <c r="A14" s="219"/>
      <c r="B14" s="280"/>
      <c r="C14" s="268"/>
      <c r="D14" s="271"/>
      <c r="E14" s="216"/>
      <c r="F14" s="230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33"/>
      <c r="W14" s="233"/>
      <c r="X14" s="233"/>
      <c r="Y14" s="233"/>
      <c r="Z14" s="233"/>
      <c r="AA14" s="233"/>
      <c r="AB14" s="233"/>
    </row>
    <row r="15" spans="1:30" ht="66.599999999999994" customHeight="1" x14ac:dyDescent="0.3">
      <c r="A15" s="220"/>
      <c r="B15" s="281"/>
      <c r="C15" s="269"/>
      <c r="D15" s="272"/>
      <c r="E15" s="217"/>
      <c r="F15" s="224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34"/>
      <c r="W15" s="234"/>
      <c r="X15" s="234"/>
      <c r="Y15" s="234"/>
      <c r="Z15" s="234"/>
      <c r="AA15" s="234"/>
      <c r="AB15" s="234"/>
    </row>
    <row r="16" spans="1:30" ht="52.2" x14ac:dyDescent="0.3">
      <c r="A16" s="173" t="s">
        <v>36</v>
      </c>
      <c r="B16" s="168" t="s">
        <v>261</v>
      </c>
      <c r="C16" s="174"/>
      <c r="D16" s="208"/>
      <c r="E16" s="170">
        <f>SUM(E17:E62)</f>
        <v>3826916.8000000003</v>
      </c>
      <c r="F16" s="170">
        <f t="shared" ref="F16:T16" si="2">SUM(F17:F62)</f>
        <v>11189851.699999997</v>
      </c>
      <c r="G16" s="170">
        <f t="shared" si="2"/>
        <v>0</v>
      </c>
      <c r="H16" s="170">
        <f t="shared" si="2"/>
        <v>0</v>
      </c>
      <c r="I16" s="170">
        <f t="shared" si="2"/>
        <v>0</v>
      </c>
      <c r="J16" s="170">
        <f t="shared" si="2"/>
        <v>3826916.8000000003</v>
      </c>
      <c r="K16" s="170">
        <f t="shared" si="2"/>
        <v>0</v>
      </c>
      <c r="L16" s="170">
        <f t="shared" si="2"/>
        <v>11189851.699999997</v>
      </c>
      <c r="M16" s="170">
        <f t="shared" si="2"/>
        <v>0</v>
      </c>
      <c r="N16" s="170">
        <f t="shared" si="2"/>
        <v>0</v>
      </c>
      <c r="O16" s="170">
        <f t="shared" si="2"/>
        <v>3402458.1999999997</v>
      </c>
      <c r="P16" s="170">
        <f t="shared" si="2"/>
        <v>0</v>
      </c>
      <c r="Q16" s="170">
        <f t="shared" si="2"/>
        <v>1209429.2</v>
      </c>
      <c r="R16" s="170">
        <f t="shared" si="2"/>
        <v>0</v>
      </c>
      <c r="S16" s="170">
        <f t="shared" si="2"/>
        <v>0</v>
      </c>
      <c r="T16" s="170">
        <f t="shared" si="2"/>
        <v>0</v>
      </c>
      <c r="U16" s="172"/>
      <c r="V16" s="175"/>
      <c r="W16" s="176"/>
      <c r="X16" s="161"/>
      <c r="Y16" s="161"/>
      <c r="Z16" s="161"/>
      <c r="AA16" s="161"/>
      <c r="AB16" s="161"/>
    </row>
    <row r="17" spans="1:28" s="12" customFormat="1" ht="120" customHeight="1" x14ac:dyDescent="0.3">
      <c r="A17" s="173" t="s">
        <v>199</v>
      </c>
      <c r="B17" s="177" t="s">
        <v>37</v>
      </c>
      <c r="C17" s="171" t="s">
        <v>38</v>
      </c>
      <c r="D17" s="209" t="s">
        <v>394</v>
      </c>
      <c r="E17" s="170"/>
      <c r="F17" s="170">
        <v>292162.8</v>
      </c>
      <c r="G17" s="178"/>
      <c r="H17" s="170"/>
      <c r="I17" s="170"/>
      <c r="J17" s="170"/>
      <c r="K17" s="170"/>
      <c r="L17" s="170">
        <v>292162.8</v>
      </c>
      <c r="M17" s="170"/>
      <c r="N17" s="170"/>
      <c r="O17" s="170"/>
      <c r="P17" s="170"/>
      <c r="Q17" s="170">
        <v>76660</v>
      </c>
      <c r="R17" s="170"/>
      <c r="S17" s="170"/>
      <c r="T17" s="170"/>
      <c r="U17" s="167"/>
      <c r="V17" s="175"/>
      <c r="W17" s="167"/>
      <c r="X17" s="179" t="s">
        <v>270</v>
      </c>
      <c r="Y17" s="167">
        <v>1887</v>
      </c>
      <c r="Z17" s="167">
        <v>1896</v>
      </c>
      <c r="AA17" s="167" t="s">
        <v>310</v>
      </c>
      <c r="AB17" s="180" t="s">
        <v>271</v>
      </c>
    </row>
    <row r="18" spans="1:28" s="12" customFormat="1" ht="221.4" customHeight="1" x14ac:dyDescent="0.3">
      <c r="A18" s="173" t="s">
        <v>198</v>
      </c>
      <c r="B18" s="177" t="s">
        <v>39</v>
      </c>
      <c r="C18" s="171" t="s">
        <v>68</v>
      </c>
      <c r="D18" s="209" t="s">
        <v>394</v>
      </c>
      <c r="E18" s="170"/>
      <c r="F18" s="178">
        <v>4160.7</v>
      </c>
      <c r="G18" s="170"/>
      <c r="H18" s="170"/>
      <c r="I18" s="170"/>
      <c r="J18" s="170"/>
      <c r="K18" s="170"/>
      <c r="L18" s="170">
        <v>4160.7</v>
      </c>
      <c r="M18" s="170"/>
      <c r="N18" s="170"/>
      <c r="O18" s="170"/>
      <c r="P18" s="170"/>
      <c r="Q18" s="170">
        <v>1046.5999999999999</v>
      </c>
      <c r="R18" s="170"/>
      <c r="S18" s="170"/>
      <c r="T18" s="170"/>
      <c r="U18" s="167"/>
      <c r="V18" s="167"/>
      <c r="W18" s="167"/>
      <c r="X18" s="179" t="s">
        <v>270</v>
      </c>
      <c r="Y18" s="167">
        <v>19</v>
      </c>
      <c r="Z18" s="167">
        <v>19</v>
      </c>
      <c r="AA18" s="167" t="s">
        <v>310</v>
      </c>
      <c r="AB18" s="180" t="s">
        <v>271</v>
      </c>
    </row>
    <row r="19" spans="1:28" s="12" customFormat="1" ht="150" customHeight="1" x14ac:dyDescent="0.3">
      <c r="A19" s="173" t="s">
        <v>200</v>
      </c>
      <c r="B19" s="177" t="s">
        <v>40</v>
      </c>
      <c r="C19" s="171" t="s">
        <v>69</v>
      </c>
      <c r="D19" s="209" t="s">
        <v>394</v>
      </c>
      <c r="E19" s="170"/>
      <c r="F19" s="170">
        <v>15780.1</v>
      </c>
      <c r="G19" s="170"/>
      <c r="H19" s="170"/>
      <c r="I19" s="170"/>
      <c r="J19" s="170"/>
      <c r="K19" s="170"/>
      <c r="L19" s="170">
        <v>15780.1</v>
      </c>
      <c r="M19" s="170"/>
      <c r="N19" s="170"/>
      <c r="O19" s="170"/>
      <c r="P19" s="170"/>
      <c r="Q19" s="170">
        <v>4834.7</v>
      </c>
      <c r="R19" s="170"/>
      <c r="S19" s="170"/>
      <c r="T19" s="170"/>
      <c r="U19" s="167"/>
      <c r="V19" s="167"/>
      <c r="W19" s="167"/>
      <c r="X19" s="179" t="s">
        <v>270</v>
      </c>
      <c r="Y19" s="167">
        <v>76</v>
      </c>
      <c r="Z19" s="167">
        <v>81</v>
      </c>
      <c r="AA19" s="167" t="s">
        <v>310</v>
      </c>
      <c r="AB19" s="180" t="s">
        <v>271</v>
      </c>
    </row>
    <row r="20" spans="1:28" s="12" customFormat="1" ht="100.8" customHeight="1" x14ac:dyDescent="0.3">
      <c r="A20" s="242" t="s">
        <v>201</v>
      </c>
      <c r="B20" s="239" t="s">
        <v>41</v>
      </c>
      <c r="C20" s="173" t="s">
        <v>70</v>
      </c>
      <c r="D20" s="248" t="s">
        <v>394</v>
      </c>
      <c r="E20" s="215"/>
      <c r="F20" s="215">
        <v>2669648.4</v>
      </c>
      <c r="G20" s="215"/>
      <c r="H20" s="215"/>
      <c r="I20" s="215"/>
      <c r="J20" s="215"/>
      <c r="K20" s="215"/>
      <c r="L20" s="215">
        <v>2669648.4</v>
      </c>
      <c r="M20" s="215"/>
      <c r="N20" s="215"/>
      <c r="O20" s="215"/>
      <c r="P20" s="215"/>
      <c r="Q20" s="215">
        <f>564948.5+2761+28180.9</f>
        <v>595890.4</v>
      </c>
      <c r="R20" s="215"/>
      <c r="S20" s="215"/>
      <c r="T20" s="215"/>
      <c r="U20" s="218"/>
      <c r="V20" s="218"/>
      <c r="W20" s="218"/>
      <c r="X20" s="225" t="s">
        <v>270</v>
      </c>
      <c r="Y20" s="218">
        <v>398426</v>
      </c>
      <c r="Z20" s="218">
        <v>384223</v>
      </c>
      <c r="AA20" s="218" t="s">
        <v>310</v>
      </c>
      <c r="AB20" s="227" t="s">
        <v>271</v>
      </c>
    </row>
    <row r="21" spans="1:28" s="12" customFormat="1" ht="102.6" customHeight="1" x14ac:dyDescent="0.3">
      <c r="A21" s="243"/>
      <c r="B21" s="240"/>
      <c r="C21" s="171" t="s">
        <v>71</v>
      </c>
      <c r="D21" s="249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9"/>
      <c r="V21" s="219"/>
      <c r="W21" s="219"/>
      <c r="X21" s="235"/>
      <c r="Y21" s="219"/>
      <c r="Z21" s="219"/>
      <c r="AA21" s="219"/>
      <c r="AB21" s="231"/>
    </row>
    <row r="22" spans="1:28" s="12" customFormat="1" ht="84" customHeight="1" x14ac:dyDescent="0.3">
      <c r="A22" s="244"/>
      <c r="B22" s="241"/>
      <c r="C22" s="171" t="s">
        <v>72</v>
      </c>
      <c r="D22" s="250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20"/>
      <c r="V22" s="220"/>
      <c r="W22" s="220"/>
      <c r="X22" s="226"/>
      <c r="Y22" s="220"/>
      <c r="Z22" s="220"/>
      <c r="AA22" s="220"/>
      <c r="AB22" s="228"/>
    </row>
    <row r="23" spans="1:28" s="12" customFormat="1" ht="409.6" customHeight="1" x14ac:dyDescent="0.3">
      <c r="A23" s="173" t="s">
        <v>202</v>
      </c>
      <c r="B23" s="177" t="s">
        <v>42</v>
      </c>
      <c r="C23" s="171" t="s">
        <v>73</v>
      </c>
      <c r="D23" s="209" t="s">
        <v>394</v>
      </c>
      <c r="E23" s="170"/>
      <c r="F23" s="170">
        <v>18263.8</v>
      </c>
      <c r="G23" s="170"/>
      <c r="H23" s="170"/>
      <c r="I23" s="170"/>
      <c r="J23" s="170"/>
      <c r="K23" s="170"/>
      <c r="L23" s="170">
        <v>18263.8</v>
      </c>
      <c r="M23" s="170"/>
      <c r="N23" s="170"/>
      <c r="O23" s="170"/>
      <c r="P23" s="170"/>
      <c r="Q23" s="170">
        <v>9.1999999999999993</v>
      </c>
      <c r="R23" s="170"/>
      <c r="S23" s="170"/>
      <c r="T23" s="170"/>
      <c r="U23" s="167"/>
      <c r="V23" s="167"/>
      <c r="W23" s="167"/>
      <c r="X23" s="179" t="s">
        <v>270</v>
      </c>
      <c r="Y23" s="167">
        <v>10525</v>
      </c>
      <c r="Z23" s="167">
        <v>0</v>
      </c>
      <c r="AA23" s="167" t="s">
        <v>310</v>
      </c>
      <c r="AB23" s="180" t="s">
        <v>271</v>
      </c>
    </row>
    <row r="24" spans="1:28" s="12" customFormat="1" ht="226.8" customHeight="1" x14ac:dyDescent="0.3">
      <c r="A24" s="173" t="s">
        <v>203</v>
      </c>
      <c r="B24" s="177" t="s">
        <v>239</v>
      </c>
      <c r="C24" s="171" t="s">
        <v>74</v>
      </c>
      <c r="D24" s="209" t="s">
        <v>394</v>
      </c>
      <c r="E24" s="170">
        <v>156275.79999999999</v>
      </c>
      <c r="F24" s="170"/>
      <c r="G24" s="170"/>
      <c r="H24" s="170"/>
      <c r="I24" s="170"/>
      <c r="J24" s="170">
        <v>156275.79999999999</v>
      </c>
      <c r="K24" s="170"/>
      <c r="L24" s="170"/>
      <c r="M24" s="170"/>
      <c r="N24" s="170"/>
      <c r="O24" s="170">
        <v>44482.2</v>
      </c>
      <c r="P24" s="170"/>
      <c r="Q24" s="170"/>
      <c r="R24" s="170"/>
      <c r="S24" s="170"/>
      <c r="T24" s="170"/>
      <c r="U24" s="167"/>
      <c r="V24" s="167"/>
      <c r="W24" s="167"/>
      <c r="X24" s="179" t="s">
        <v>270</v>
      </c>
      <c r="Y24" s="167">
        <v>9663</v>
      </c>
      <c r="Z24" s="167">
        <v>9300</v>
      </c>
      <c r="AA24" s="167" t="s">
        <v>310</v>
      </c>
      <c r="AB24" s="180" t="s">
        <v>271</v>
      </c>
    </row>
    <row r="25" spans="1:28" s="12" customFormat="1" ht="181.8" customHeight="1" x14ac:dyDescent="0.3">
      <c r="A25" s="173" t="s">
        <v>204</v>
      </c>
      <c r="B25" s="177" t="s">
        <v>43</v>
      </c>
      <c r="C25" s="171" t="s">
        <v>75</v>
      </c>
      <c r="D25" s="209" t="s">
        <v>394</v>
      </c>
      <c r="E25" s="170">
        <v>268.89999999999998</v>
      </c>
      <c r="F25" s="178"/>
      <c r="G25" s="170"/>
      <c r="H25" s="170"/>
      <c r="I25" s="170"/>
      <c r="J25" s="170">
        <v>268.89999999999998</v>
      </c>
      <c r="K25" s="170"/>
      <c r="L25" s="170"/>
      <c r="M25" s="170"/>
      <c r="N25" s="170"/>
      <c r="O25" s="170">
        <v>38.4</v>
      </c>
      <c r="P25" s="170"/>
      <c r="Q25" s="170"/>
      <c r="R25" s="170"/>
      <c r="S25" s="170"/>
      <c r="T25" s="170"/>
      <c r="U25" s="167"/>
      <c r="V25" s="167"/>
      <c r="W25" s="167"/>
      <c r="X25" s="179" t="s">
        <v>270</v>
      </c>
      <c r="Y25" s="167">
        <v>15</v>
      </c>
      <c r="Z25" s="167">
        <v>10</v>
      </c>
      <c r="AA25" s="167" t="s">
        <v>310</v>
      </c>
      <c r="AB25" s="180" t="s">
        <v>271</v>
      </c>
    </row>
    <row r="26" spans="1:28" s="12" customFormat="1" ht="284.39999999999998" customHeight="1" x14ac:dyDescent="0.3">
      <c r="A26" s="242" t="s">
        <v>205</v>
      </c>
      <c r="B26" s="239" t="s">
        <v>240</v>
      </c>
      <c r="C26" s="173" t="s">
        <v>76</v>
      </c>
      <c r="D26" s="209" t="s">
        <v>394</v>
      </c>
      <c r="E26" s="215"/>
      <c r="F26" s="223">
        <v>4752680.3</v>
      </c>
      <c r="G26" s="223"/>
      <c r="H26" s="170"/>
      <c r="I26" s="170"/>
      <c r="J26" s="215"/>
      <c r="K26" s="170"/>
      <c r="L26" s="223">
        <v>4752680.3</v>
      </c>
      <c r="M26" s="170"/>
      <c r="N26" s="170"/>
      <c r="O26" s="215">
        <v>1348373.4</v>
      </c>
      <c r="P26" s="170"/>
      <c r="Q26" s="170"/>
      <c r="R26" s="170"/>
      <c r="S26" s="170"/>
      <c r="T26" s="170"/>
      <c r="U26" s="167"/>
      <c r="V26" s="167"/>
      <c r="W26" s="167"/>
      <c r="X26" s="225" t="s">
        <v>270</v>
      </c>
      <c r="Y26" s="218">
        <v>379096</v>
      </c>
      <c r="Z26" s="218">
        <v>378268</v>
      </c>
      <c r="AA26" s="167" t="s">
        <v>310</v>
      </c>
      <c r="AB26" s="180" t="s">
        <v>271</v>
      </c>
    </row>
    <row r="27" spans="1:28" s="12" customFormat="1" ht="14.4" hidden="1" customHeight="1" x14ac:dyDescent="0.3">
      <c r="A27" s="243"/>
      <c r="B27" s="240"/>
      <c r="C27" s="171" t="s">
        <v>77</v>
      </c>
      <c r="D27" s="209" t="s">
        <v>394</v>
      </c>
      <c r="E27" s="216"/>
      <c r="F27" s="216"/>
      <c r="G27" s="216"/>
      <c r="H27" s="170"/>
      <c r="I27" s="170"/>
      <c r="J27" s="216"/>
      <c r="K27" s="170"/>
      <c r="L27" s="216"/>
      <c r="M27" s="170"/>
      <c r="N27" s="170"/>
      <c r="O27" s="216"/>
      <c r="P27" s="170"/>
      <c r="Q27" s="170"/>
      <c r="R27" s="170"/>
      <c r="S27" s="170"/>
      <c r="T27" s="170"/>
      <c r="U27" s="167"/>
      <c r="V27" s="167"/>
      <c r="W27" s="167"/>
      <c r="X27" s="235"/>
      <c r="Y27" s="219"/>
      <c r="Z27" s="219"/>
      <c r="AA27" s="167"/>
      <c r="AB27" s="167"/>
    </row>
    <row r="28" spans="1:28" s="12" customFormat="1" ht="14.4" hidden="1" customHeight="1" x14ac:dyDescent="0.3">
      <c r="A28" s="244"/>
      <c r="B28" s="241"/>
      <c r="C28" s="171" t="s">
        <v>78</v>
      </c>
      <c r="D28" s="181" t="s">
        <v>394</v>
      </c>
      <c r="E28" s="217"/>
      <c r="F28" s="217"/>
      <c r="G28" s="217"/>
      <c r="H28" s="170"/>
      <c r="I28" s="170"/>
      <c r="J28" s="217"/>
      <c r="K28" s="170"/>
      <c r="L28" s="217"/>
      <c r="M28" s="170"/>
      <c r="N28" s="170"/>
      <c r="O28" s="217"/>
      <c r="P28" s="170"/>
      <c r="Q28" s="170"/>
      <c r="R28" s="170"/>
      <c r="S28" s="170"/>
      <c r="T28" s="170"/>
      <c r="U28" s="167"/>
      <c r="V28" s="167"/>
      <c r="W28" s="167"/>
      <c r="X28" s="226"/>
      <c r="Y28" s="220"/>
      <c r="Z28" s="220"/>
      <c r="AA28" s="167"/>
      <c r="AB28" s="167"/>
    </row>
    <row r="29" spans="1:28" s="12" customFormat="1" ht="238.8" customHeight="1" x14ac:dyDescent="0.3">
      <c r="A29" s="173" t="s">
        <v>214</v>
      </c>
      <c r="B29" s="177" t="s">
        <v>44</v>
      </c>
      <c r="C29" s="171" t="s">
        <v>79</v>
      </c>
      <c r="D29" s="181" t="s">
        <v>394</v>
      </c>
      <c r="E29" s="170"/>
      <c r="F29" s="178">
        <v>1249794.6000000001</v>
      </c>
      <c r="G29" s="178"/>
      <c r="H29" s="170"/>
      <c r="I29" s="170"/>
      <c r="J29" s="170"/>
      <c r="K29" s="170"/>
      <c r="L29" s="178">
        <v>1249794.6000000001</v>
      </c>
      <c r="M29" s="170"/>
      <c r="N29" s="170"/>
      <c r="O29" s="170">
        <v>405588.4</v>
      </c>
      <c r="P29" s="170"/>
      <c r="Q29" s="170"/>
      <c r="R29" s="170"/>
      <c r="S29" s="170"/>
      <c r="T29" s="170"/>
      <c r="U29" s="167"/>
      <c r="V29" s="167"/>
      <c r="W29" s="167"/>
      <c r="X29" s="179" t="s">
        <v>270</v>
      </c>
      <c r="Y29" s="167">
        <v>73000</v>
      </c>
      <c r="Z29" s="167">
        <v>57004</v>
      </c>
      <c r="AA29" s="167" t="s">
        <v>310</v>
      </c>
      <c r="AB29" s="180" t="s">
        <v>271</v>
      </c>
    </row>
    <row r="30" spans="1:28" s="12" customFormat="1" ht="178.2" customHeight="1" x14ac:dyDescent="0.3">
      <c r="A30" s="242" t="s">
        <v>215</v>
      </c>
      <c r="B30" s="239" t="s">
        <v>45</v>
      </c>
      <c r="C30" s="171" t="s">
        <v>80</v>
      </c>
      <c r="D30" s="221" t="s">
        <v>394</v>
      </c>
      <c r="E30" s="215">
        <v>3248310.4</v>
      </c>
      <c r="F30" s="223"/>
      <c r="G30" s="223"/>
      <c r="H30" s="215"/>
      <c r="I30" s="215"/>
      <c r="J30" s="215">
        <f>2696255.1+77857.4+474197.9</f>
        <v>3248310.4</v>
      </c>
      <c r="K30" s="215"/>
      <c r="L30" s="215"/>
      <c r="M30" s="215"/>
      <c r="N30" s="215"/>
      <c r="O30" s="215">
        <f>1138518.4+27163.2+131213.9</f>
        <v>1296895.4999999998</v>
      </c>
      <c r="P30" s="215"/>
      <c r="Q30" s="215"/>
      <c r="R30" s="215"/>
      <c r="S30" s="215"/>
      <c r="T30" s="215"/>
      <c r="U30" s="218"/>
      <c r="V30" s="218"/>
      <c r="W30" s="218"/>
      <c r="X30" s="225" t="s">
        <v>270</v>
      </c>
      <c r="Y30" s="218">
        <v>514832</v>
      </c>
      <c r="Z30" s="218">
        <v>512671</v>
      </c>
      <c r="AA30" s="218" t="s">
        <v>310</v>
      </c>
      <c r="AB30" s="227" t="s">
        <v>271</v>
      </c>
    </row>
    <row r="31" spans="1:28" s="12" customFormat="1" ht="3.6" hidden="1" customHeight="1" x14ac:dyDescent="0.3">
      <c r="A31" s="243"/>
      <c r="B31" s="240"/>
      <c r="C31" s="171" t="s">
        <v>81</v>
      </c>
      <c r="D31" s="229"/>
      <c r="E31" s="216"/>
      <c r="F31" s="230"/>
      <c r="G31" s="230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9"/>
      <c r="V31" s="219"/>
      <c r="W31" s="219"/>
      <c r="X31" s="235"/>
      <c r="Y31" s="219"/>
      <c r="Z31" s="219"/>
      <c r="AA31" s="219"/>
      <c r="AB31" s="231"/>
    </row>
    <row r="32" spans="1:28" s="12" customFormat="1" ht="242.4" customHeight="1" x14ac:dyDescent="0.3">
      <c r="A32" s="244"/>
      <c r="B32" s="241"/>
      <c r="C32" s="171" t="s">
        <v>82</v>
      </c>
      <c r="D32" s="222"/>
      <c r="E32" s="217"/>
      <c r="F32" s="224"/>
      <c r="G32" s="224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20"/>
      <c r="V32" s="220"/>
      <c r="W32" s="220"/>
      <c r="X32" s="226"/>
      <c r="Y32" s="220"/>
      <c r="Z32" s="220"/>
      <c r="AA32" s="220"/>
      <c r="AB32" s="228"/>
    </row>
    <row r="33" spans="1:28" s="12" customFormat="1" ht="212.4" customHeight="1" x14ac:dyDescent="0.3">
      <c r="A33" s="242" t="s">
        <v>231</v>
      </c>
      <c r="B33" s="239" t="s">
        <v>46</v>
      </c>
      <c r="C33" s="171"/>
      <c r="D33" s="248" t="s">
        <v>394</v>
      </c>
      <c r="E33" s="215">
        <v>8186.2</v>
      </c>
      <c r="F33" s="223">
        <v>2585.1999999999998</v>
      </c>
      <c r="G33" s="223"/>
      <c r="H33" s="215"/>
      <c r="I33" s="215"/>
      <c r="J33" s="215">
        <v>8186.2</v>
      </c>
      <c r="K33" s="215"/>
      <c r="L33" s="215">
        <v>2585.1999999999998</v>
      </c>
      <c r="M33" s="215"/>
      <c r="N33" s="215"/>
      <c r="O33" s="215">
        <v>2117.6999999999998</v>
      </c>
      <c r="P33" s="215"/>
      <c r="Q33" s="215">
        <v>668.7</v>
      </c>
      <c r="R33" s="215"/>
      <c r="S33" s="215"/>
      <c r="T33" s="215"/>
      <c r="U33" s="218"/>
      <c r="V33" s="218"/>
      <c r="W33" s="218"/>
      <c r="X33" s="179" t="s">
        <v>270</v>
      </c>
      <c r="Y33" s="167">
        <v>6438</v>
      </c>
      <c r="Z33" s="167">
        <v>5635</v>
      </c>
      <c r="AA33" s="167" t="s">
        <v>310</v>
      </c>
      <c r="AB33" s="180" t="s">
        <v>271</v>
      </c>
    </row>
    <row r="34" spans="1:28" s="12" customFormat="1" ht="264.60000000000002" customHeight="1" x14ac:dyDescent="0.3">
      <c r="A34" s="244"/>
      <c r="B34" s="241"/>
      <c r="C34" s="171" t="s">
        <v>83</v>
      </c>
      <c r="D34" s="250"/>
      <c r="E34" s="217"/>
      <c r="F34" s="224"/>
      <c r="G34" s="224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20"/>
      <c r="V34" s="220"/>
      <c r="W34" s="220"/>
      <c r="X34" s="179" t="s">
        <v>299</v>
      </c>
      <c r="Y34" s="167">
        <v>100</v>
      </c>
      <c r="Z34" s="167">
        <v>90</v>
      </c>
      <c r="AA34" s="167" t="s">
        <v>310</v>
      </c>
      <c r="AB34" s="180" t="s">
        <v>271</v>
      </c>
    </row>
    <row r="35" spans="1:28" s="12" customFormat="1" ht="409.6" customHeight="1" x14ac:dyDescent="0.3">
      <c r="A35" s="173" t="s">
        <v>222</v>
      </c>
      <c r="B35" s="177" t="s">
        <v>47</v>
      </c>
      <c r="C35" s="171" t="s">
        <v>84</v>
      </c>
      <c r="D35" s="209" t="s">
        <v>394</v>
      </c>
      <c r="E35" s="170"/>
      <c r="F35" s="178">
        <v>5801.6</v>
      </c>
      <c r="G35" s="178"/>
      <c r="H35" s="170"/>
      <c r="I35" s="170"/>
      <c r="J35" s="170"/>
      <c r="K35" s="170"/>
      <c r="L35" s="170">
        <v>5801.6</v>
      </c>
      <c r="M35" s="170"/>
      <c r="N35" s="170"/>
      <c r="O35" s="170"/>
      <c r="P35" s="170"/>
      <c r="Q35" s="170">
        <v>1289.5999999999999</v>
      </c>
      <c r="R35" s="170"/>
      <c r="S35" s="170"/>
      <c r="T35" s="170"/>
      <c r="U35" s="167"/>
      <c r="V35" s="167"/>
      <c r="W35" s="167"/>
      <c r="X35" s="179" t="s">
        <v>270</v>
      </c>
      <c r="Y35" s="167">
        <v>696</v>
      </c>
      <c r="Z35" s="167">
        <v>665</v>
      </c>
      <c r="AA35" s="167" t="s">
        <v>310</v>
      </c>
      <c r="AB35" s="180" t="s">
        <v>271</v>
      </c>
    </row>
    <row r="36" spans="1:28" s="12" customFormat="1" ht="409.2" customHeight="1" x14ac:dyDescent="0.3">
      <c r="A36" s="173" t="s">
        <v>232</v>
      </c>
      <c r="B36" s="177" t="s">
        <v>48</v>
      </c>
      <c r="C36" s="171" t="s">
        <v>85</v>
      </c>
      <c r="D36" s="209" t="s">
        <v>394</v>
      </c>
      <c r="E36" s="170"/>
      <c r="F36" s="178">
        <v>11986.2</v>
      </c>
      <c r="G36" s="170"/>
      <c r="H36" s="170"/>
      <c r="I36" s="170"/>
      <c r="J36" s="170"/>
      <c r="K36" s="170"/>
      <c r="L36" s="170">
        <v>11986.2</v>
      </c>
      <c r="M36" s="170"/>
      <c r="N36" s="170"/>
      <c r="O36" s="170"/>
      <c r="P36" s="170"/>
      <c r="Q36" s="170">
        <v>2767.3</v>
      </c>
      <c r="R36" s="170"/>
      <c r="S36" s="170"/>
      <c r="T36" s="170"/>
      <c r="U36" s="167"/>
      <c r="V36" s="167"/>
      <c r="W36" s="167"/>
      <c r="X36" s="179" t="s">
        <v>270</v>
      </c>
      <c r="Y36" s="167">
        <v>1627</v>
      </c>
      <c r="Z36" s="167">
        <v>1434</v>
      </c>
      <c r="AA36" s="167" t="s">
        <v>310</v>
      </c>
      <c r="AB36" s="180" t="s">
        <v>271</v>
      </c>
    </row>
    <row r="37" spans="1:28" s="12" customFormat="1" ht="129.6" customHeight="1" x14ac:dyDescent="0.3">
      <c r="A37" s="173" t="s">
        <v>241</v>
      </c>
      <c r="B37" s="177" t="s">
        <v>49</v>
      </c>
      <c r="C37" s="171" t="s">
        <v>86</v>
      </c>
      <c r="D37" s="209" t="s">
        <v>394</v>
      </c>
      <c r="E37" s="170"/>
      <c r="F37" s="178">
        <v>9640.6</v>
      </c>
      <c r="G37" s="170"/>
      <c r="H37" s="170"/>
      <c r="I37" s="170"/>
      <c r="J37" s="170"/>
      <c r="K37" s="170"/>
      <c r="L37" s="170">
        <v>9640.6</v>
      </c>
      <c r="M37" s="170"/>
      <c r="N37" s="170"/>
      <c r="O37" s="170"/>
      <c r="P37" s="170"/>
      <c r="Q37" s="170">
        <v>774.2</v>
      </c>
      <c r="R37" s="170"/>
      <c r="S37" s="170"/>
      <c r="T37" s="170"/>
      <c r="U37" s="167"/>
      <c r="V37" s="167"/>
      <c r="W37" s="167"/>
      <c r="X37" s="179" t="s">
        <v>270</v>
      </c>
      <c r="Y37" s="167">
        <v>180</v>
      </c>
      <c r="Z37" s="167">
        <v>129</v>
      </c>
      <c r="AA37" s="167" t="s">
        <v>310</v>
      </c>
      <c r="AB37" s="180" t="s">
        <v>271</v>
      </c>
    </row>
    <row r="38" spans="1:28" s="12" customFormat="1" ht="148.19999999999999" customHeight="1" x14ac:dyDescent="0.3">
      <c r="A38" s="173" t="s">
        <v>238</v>
      </c>
      <c r="B38" s="177" t="s">
        <v>50</v>
      </c>
      <c r="C38" s="171" t="s">
        <v>87</v>
      </c>
      <c r="D38" s="209" t="s">
        <v>394</v>
      </c>
      <c r="E38" s="170"/>
      <c r="F38" s="178">
        <v>5.0999999999999996</v>
      </c>
      <c r="G38" s="170"/>
      <c r="H38" s="170"/>
      <c r="I38" s="170"/>
      <c r="J38" s="170"/>
      <c r="K38" s="170"/>
      <c r="L38" s="170">
        <v>5.0999999999999996</v>
      </c>
      <c r="M38" s="170"/>
      <c r="N38" s="170"/>
      <c r="O38" s="170"/>
      <c r="P38" s="170"/>
      <c r="Q38" s="170"/>
      <c r="R38" s="170"/>
      <c r="S38" s="170"/>
      <c r="T38" s="170"/>
      <c r="U38" s="167"/>
      <c r="V38" s="167"/>
      <c r="W38" s="167"/>
      <c r="X38" s="179" t="s">
        <v>270</v>
      </c>
      <c r="Y38" s="167">
        <v>5</v>
      </c>
      <c r="Z38" s="167">
        <v>0</v>
      </c>
      <c r="AA38" s="167" t="s">
        <v>310</v>
      </c>
      <c r="AB38" s="180" t="s">
        <v>271</v>
      </c>
    </row>
    <row r="39" spans="1:28" s="12" customFormat="1" ht="259.2" customHeight="1" x14ac:dyDescent="0.3">
      <c r="A39" s="173" t="s">
        <v>242</v>
      </c>
      <c r="B39" s="177" t="s">
        <v>51</v>
      </c>
      <c r="C39" s="171" t="s">
        <v>88</v>
      </c>
      <c r="D39" s="209" t="s">
        <v>394</v>
      </c>
      <c r="E39" s="170"/>
      <c r="F39" s="178">
        <v>183.4</v>
      </c>
      <c r="G39" s="170"/>
      <c r="H39" s="170"/>
      <c r="I39" s="170"/>
      <c r="J39" s="170"/>
      <c r="K39" s="170"/>
      <c r="L39" s="170">
        <v>183.4</v>
      </c>
      <c r="M39" s="170"/>
      <c r="N39" s="170"/>
      <c r="O39" s="170"/>
      <c r="P39" s="170"/>
      <c r="Q39" s="170">
        <v>17.600000000000001</v>
      </c>
      <c r="R39" s="170"/>
      <c r="S39" s="170"/>
      <c r="T39" s="170"/>
      <c r="U39" s="167"/>
      <c r="V39" s="167"/>
      <c r="W39" s="167"/>
      <c r="X39" s="179" t="s">
        <v>270</v>
      </c>
      <c r="Y39" s="167">
        <v>76</v>
      </c>
      <c r="Z39" s="167">
        <v>35</v>
      </c>
      <c r="AA39" s="167" t="s">
        <v>310</v>
      </c>
      <c r="AB39" s="180" t="s">
        <v>271</v>
      </c>
    </row>
    <row r="40" spans="1:28" s="12" customFormat="1" ht="384" customHeight="1" x14ac:dyDescent="0.3">
      <c r="A40" s="173" t="s">
        <v>243</v>
      </c>
      <c r="B40" s="177" t="s">
        <v>52</v>
      </c>
      <c r="C40" s="171" t="s">
        <v>89</v>
      </c>
      <c r="D40" s="209" t="s">
        <v>394</v>
      </c>
      <c r="E40" s="170"/>
      <c r="F40" s="178">
        <v>2629.3</v>
      </c>
      <c r="G40" s="170"/>
      <c r="H40" s="170"/>
      <c r="I40" s="170"/>
      <c r="J40" s="170"/>
      <c r="K40" s="170"/>
      <c r="L40" s="170">
        <v>2629.3</v>
      </c>
      <c r="M40" s="170"/>
      <c r="N40" s="170"/>
      <c r="O40" s="170"/>
      <c r="P40" s="170"/>
      <c r="Q40" s="170">
        <v>586</v>
      </c>
      <c r="R40" s="170"/>
      <c r="S40" s="170"/>
      <c r="T40" s="170"/>
      <c r="U40" s="167"/>
      <c r="V40" s="167"/>
      <c r="W40" s="167"/>
      <c r="X40" s="179" t="s">
        <v>270</v>
      </c>
      <c r="Y40" s="167">
        <v>375</v>
      </c>
      <c r="Z40" s="167">
        <v>89</v>
      </c>
      <c r="AA40" s="167" t="s">
        <v>310</v>
      </c>
      <c r="AB40" s="180" t="s">
        <v>271</v>
      </c>
    </row>
    <row r="41" spans="1:28" s="12" customFormat="1" ht="314.39999999999998" customHeight="1" x14ac:dyDescent="0.3">
      <c r="A41" s="173" t="s">
        <v>244</v>
      </c>
      <c r="B41" s="177" t="s">
        <v>53</v>
      </c>
      <c r="C41" s="171" t="s">
        <v>90</v>
      </c>
      <c r="D41" s="209" t="s">
        <v>394</v>
      </c>
      <c r="E41" s="170">
        <v>988.1</v>
      </c>
      <c r="F41" s="170"/>
      <c r="G41" s="170"/>
      <c r="H41" s="170"/>
      <c r="I41" s="170"/>
      <c r="J41" s="170">
        <v>988.1</v>
      </c>
      <c r="K41" s="170"/>
      <c r="L41" s="170"/>
      <c r="M41" s="170"/>
      <c r="N41" s="170"/>
      <c r="O41" s="170">
        <v>184.8</v>
      </c>
      <c r="P41" s="170"/>
      <c r="Q41" s="170"/>
      <c r="R41" s="170"/>
      <c r="S41" s="170"/>
      <c r="T41" s="170"/>
      <c r="U41" s="167"/>
      <c r="V41" s="167"/>
      <c r="W41" s="167"/>
      <c r="X41" s="179" t="s">
        <v>270</v>
      </c>
      <c r="Y41" s="167">
        <v>295</v>
      </c>
      <c r="Z41" s="167">
        <v>72</v>
      </c>
      <c r="AA41" s="167" t="s">
        <v>310</v>
      </c>
      <c r="AB41" s="180" t="s">
        <v>271</v>
      </c>
    </row>
    <row r="42" spans="1:28" s="13" customFormat="1" ht="186.6" customHeight="1" x14ac:dyDescent="0.3">
      <c r="A42" s="242" t="s">
        <v>245</v>
      </c>
      <c r="B42" s="239" t="s">
        <v>54</v>
      </c>
      <c r="C42" s="171" t="s">
        <v>91</v>
      </c>
      <c r="D42" s="209" t="s">
        <v>394</v>
      </c>
      <c r="E42" s="215"/>
      <c r="F42" s="215">
        <v>38155.199999999997</v>
      </c>
      <c r="G42" s="170"/>
      <c r="H42" s="170"/>
      <c r="I42" s="170"/>
      <c r="J42" s="215"/>
      <c r="K42" s="170"/>
      <c r="L42" s="215">
        <v>38155.199999999997</v>
      </c>
      <c r="M42" s="170"/>
      <c r="N42" s="170"/>
      <c r="O42" s="215"/>
      <c r="P42" s="170"/>
      <c r="Q42" s="215">
        <v>7740</v>
      </c>
      <c r="R42" s="170"/>
      <c r="S42" s="170"/>
      <c r="T42" s="170"/>
      <c r="U42" s="167"/>
      <c r="V42" s="167"/>
      <c r="W42" s="167"/>
      <c r="X42" s="225" t="s">
        <v>270</v>
      </c>
      <c r="Y42" s="218">
        <v>6905</v>
      </c>
      <c r="Z42" s="167">
        <v>1603</v>
      </c>
      <c r="AA42" s="167" t="s">
        <v>310</v>
      </c>
      <c r="AB42" s="180" t="s">
        <v>271</v>
      </c>
    </row>
    <row r="43" spans="1:28" s="12" customFormat="1" ht="14.4" hidden="1" customHeight="1" x14ac:dyDescent="0.3">
      <c r="A43" s="244"/>
      <c r="B43" s="241"/>
      <c r="C43" s="171" t="s">
        <v>92</v>
      </c>
      <c r="D43" s="209" t="s">
        <v>394</v>
      </c>
      <c r="E43" s="217"/>
      <c r="F43" s="217"/>
      <c r="G43" s="170"/>
      <c r="H43" s="170"/>
      <c r="I43" s="170"/>
      <c r="J43" s="217"/>
      <c r="K43" s="170"/>
      <c r="L43" s="217"/>
      <c r="M43" s="170"/>
      <c r="N43" s="170"/>
      <c r="O43" s="217"/>
      <c r="P43" s="170"/>
      <c r="Q43" s="217"/>
      <c r="R43" s="170"/>
      <c r="S43" s="170"/>
      <c r="T43" s="170"/>
      <c r="U43" s="167"/>
      <c r="V43" s="167"/>
      <c r="W43" s="167"/>
      <c r="X43" s="226"/>
      <c r="Y43" s="220"/>
      <c r="Z43" s="167"/>
      <c r="AA43" s="167"/>
      <c r="AB43" s="167"/>
    </row>
    <row r="44" spans="1:28" s="12" customFormat="1" ht="140.4" customHeight="1" x14ac:dyDescent="0.3">
      <c r="A44" s="173" t="s">
        <v>246</v>
      </c>
      <c r="B44" s="177" t="s">
        <v>55</v>
      </c>
      <c r="C44" s="171" t="s">
        <v>93</v>
      </c>
      <c r="D44" s="209" t="s">
        <v>394</v>
      </c>
      <c r="E44" s="170"/>
      <c r="F44" s="178">
        <v>35.299999999999997</v>
      </c>
      <c r="G44" s="170"/>
      <c r="H44" s="170"/>
      <c r="I44" s="170"/>
      <c r="J44" s="170"/>
      <c r="K44" s="170"/>
      <c r="L44" s="170">
        <v>35.299999999999997</v>
      </c>
      <c r="M44" s="170"/>
      <c r="N44" s="170"/>
      <c r="O44" s="170"/>
      <c r="P44" s="170"/>
      <c r="Q44" s="170"/>
      <c r="R44" s="170"/>
      <c r="S44" s="170"/>
      <c r="T44" s="170"/>
      <c r="U44" s="167"/>
      <c r="V44" s="167"/>
      <c r="W44" s="167"/>
      <c r="X44" s="179" t="s">
        <v>270</v>
      </c>
      <c r="Y44" s="167">
        <v>6</v>
      </c>
      <c r="Z44" s="167">
        <v>0</v>
      </c>
      <c r="AA44" s="167" t="s">
        <v>310</v>
      </c>
      <c r="AB44" s="180" t="s">
        <v>271</v>
      </c>
    </row>
    <row r="45" spans="1:28" s="12" customFormat="1" ht="147.6" customHeight="1" x14ac:dyDescent="0.3">
      <c r="A45" s="173" t="s">
        <v>247</v>
      </c>
      <c r="B45" s="177" t="s">
        <v>56</v>
      </c>
      <c r="C45" s="171" t="s">
        <v>94</v>
      </c>
      <c r="D45" s="209" t="s">
        <v>394</v>
      </c>
      <c r="E45" s="170"/>
      <c r="F45" s="170">
        <v>197.9</v>
      </c>
      <c r="G45" s="170"/>
      <c r="H45" s="170"/>
      <c r="I45" s="170"/>
      <c r="J45" s="170"/>
      <c r="K45" s="170"/>
      <c r="L45" s="170">
        <v>197.9</v>
      </c>
      <c r="M45" s="170"/>
      <c r="N45" s="170"/>
      <c r="O45" s="170"/>
      <c r="P45" s="170"/>
      <c r="Q45" s="170">
        <v>15</v>
      </c>
      <c r="R45" s="170"/>
      <c r="S45" s="170"/>
      <c r="T45" s="170"/>
      <c r="U45" s="167"/>
      <c r="V45" s="167"/>
      <c r="W45" s="167"/>
      <c r="X45" s="179" t="s">
        <v>270</v>
      </c>
      <c r="Y45" s="167">
        <v>13</v>
      </c>
      <c r="Z45" s="167">
        <v>4</v>
      </c>
      <c r="AA45" s="167" t="s">
        <v>310</v>
      </c>
      <c r="AB45" s="180" t="s">
        <v>271</v>
      </c>
    </row>
    <row r="46" spans="1:28" s="12" customFormat="1" ht="158.4" customHeight="1" x14ac:dyDescent="0.3">
      <c r="A46" s="173" t="s">
        <v>248</v>
      </c>
      <c r="B46" s="177" t="s">
        <v>57</v>
      </c>
      <c r="C46" s="171" t="s">
        <v>95</v>
      </c>
      <c r="D46" s="209" t="s">
        <v>394</v>
      </c>
      <c r="E46" s="170">
        <v>296027.59999999998</v>
      </c>
      <c r="F46" s="170"/>
      <c r="G46" s="170"/>
      <c r="H46" s="170"/>
      <c r="I46" s="170"/>
      <c r="J46" s="170">
        <v>296027.59999999998</v>
      </c>
      <c r="K46" s="170"/>
      <c r="L46" s="170"/>
      <c r="M46" s="170"/>
      <c r="N46" s="170"/>
      <c r="O46" s="170">
        <v>290138.09999999998</v>
      </c>
      <c r="P46" s="170"/>
      <c r="Q46" s="170"/>
      <c r="R46" s="170"/>
      <c r="S46" s="170"/>
      <c r="T46" s="170"/>
      <c r="U46" s="167"/>
      <c r="V46" s="167"/>
      <c r="W46" s="167"/>
      <c r="X46" s="179" t="s">
        <v>270</v>
      </c>
      <c r="Y46" s="167">
        <v>22387</v>
      </c>
      <c r="Z46" s="167">
        <v>21394</v>
      </c>
      <c r="AA46" s="167" t="s">
        <v>310</v>
      </c>
      <c r="AB46" s="180" t="s">
        <v>271</v>
      </c>
    </row>
    <row r="47" spans="1:28" s="12" customFormat="1" ht="138" customHeight="1" x14ac:dyDescent="0.3">
      <c r="A47" s="242" t="s">
        <v>249</v>
      </c>
      <c r="B47" s="239" t="s">
        <v>58</v>
      </c>
      <c r="C47" s="171" t="s">
        <v>96</v>
      </c>
      <c r="D47" s="221" t="s">
        <v>394</v>
      </c>
      <c r="E47" s="215"/>
      <c r="F47" s="215">
        <v>68568.899999999994</v>
      </c>
      <c r="G47" s="215"/>
      <c r="H47" s="215"/>
      <c r="I47" s="215"/>
      <c r="J47" s="215"/>
      <c r="K47" s="215"/>
      <c r="L47" s="215">
        <v>68568.899999999994</v>
      </c>
      <c r="M47" s="215"/>
      <c r="N47" s="215"/>
      <c r="O47" s="215"/>
      <c r="P47" s="215"/>
      <c r="Q47" s="215">
        <f>18491.4+73.5</f>
        <v>18564.900000000001</v>
      </c>
      <c r="R47" s="215"/>
      <c r="S47" s="215"/>
      <c r="T47" s="215"/>
      <c r="U47" s="218"/>
      <c r="V47" s="218"/>
      <c r="W47" s="218"/>
      <c r="X47" s="225" t="s">
        <v>270</v>
      </c>
      <c r="Y47" s="218">
        <v>137</v>
      </c>
      <c r="Z47" s="218">
        <v>136</v>
      </c>
      <c r="AA47" s="218" t="s">
        <v>310</v>
      </c>
      <c r="AB47" s="227" t="s">
        <v>271</v>
      </c>
    </row>
    <row r="48" spans="1:28" s="12" customFormat="1" ht="90.6" customHeight="1" x14ac:dyDescent="0.3">
      <c r="A48" s="244"/>
      <c r="B48" s="241"/>
      <c r="C48" s="171" t="s">
        <v>97</v>
      </c>
      <c r="D48" s="222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20"/>
      <c r="V48" s="220"/>
      <c r="W48" s="220"/>
      <c r="X48" s="226"/>
      <c r="Y48" s="220"/>
      <c r="Z48" s="220"/>
      <c r="AA48" s="220"/>
      <c r="AB48" s="228"/>
    </row>
    <row r="49" spans="1:28" s="12" customFormat="1" ht="319.2" customHeight="1" x14ac:dyDescent="0.3">
      <c r="A49" s="173" t="s">
        <v>250</v>
      </c>
      <c r="B49" s="177" t="s">
        <v>59</v>
      </c>
      <c r="C49" s="171" t="s">
        <v>98</v>
      </c>
      <c r="D49" s="209" t="s">
        <v>394</v>
      </c>
      <c r="E49" s="170"/>
      <c r="F49" s="178">
        <v>663.9</v>
      </c>
      <c r="G49" s="170"/>
      <c r="H49" s="170"/>
      <c r="I49" s="170"/>
      <c r="J49" s="170"/>
      <c r="K49" s="170"/>
      <c r="L49" s="170">
        <v>663.9</v>
      </c>
      <c r="M49" s="170"/>
      <c r="N49" s="170"/>
      <c r="O49" s="170"/>
      <c r="P49" s="170"/>
      <c r="Q49" s="170">
        <v>33.9</v>
      </c>
      <c r="R49" s="170"/>
      <c r="S49" s="170"/>
      <c r="T49" s="170"/>
      <c r="U49" s="167"/>
      <c r="V49" s="167"/>
      <c r="W49" s="167"/>
      <c r="X49" s="167"/>
      <c r="Y49" s="167">
        <v>4</v>
      </c>
      <c r="Z49" s="167">
        <v>4</v>
      </c>
      <c r="AA49" s="167" t="s">
        <v>310</v>
      </c>
      <c r="AB49" s="167"/>
    </row>
    <row r="50" spans="1:28" s="12" customFormat="1" ht="57" customHeight="1" x14ac:dyDescent="0.3">
      <c r="A50" s="242" t="s">
        <v>251</v>
      </c>
      <c r="B50" s="239" t="s">
        <v>60</v>
      </c>
      <c r="C50" s="171" t="s">
        <v>99</v>
      </c>
      <c r="D50" s="248" t="s">
        <v>394</v>
      </c>
      <c r="E50" s="215"/>
      <c r="F50" s="223">
        <v>1025956.1</v>
      </c>
      <c r="G50" s="223"/>
      <c r="H50" s="215"/>
      <c r="I50" s="215"/>
      <c r="J50" s="215"/>
      <c r="K50" s="215"/>
      <c r="L50" s="215">
        <v>1025956.1</v>
      </c>
      <c r="M50" s="215"/>
      <c r="N50" s="215"/>
      <c r="O50" s="215"/>
      <c r="P50" s="215"/>
      <c r="Q50" s="215">
        <f>124915.3+81.4+86955.9+2264.6+5576.3+78895.4</f>
        <v>298688.89999999997</v>
      </c>
      <c r="R50" s="215"/>
      <c r="S50" s="215"/>
      <c r="T50" s="215"/>
      <c r="U50" s="218"/>
      <c r="V50" s="218"/>
      <c r="W50" s="218"/>
      <c r="X50" s="225" t="s">
        <v>300</v>
      </c>
      <c r="Y50" s="218">
        <v>392.3</v>
      </c>
      <c r="Z50" s="218">
        <v>239</v>
      </c>
      <c r="AA50" s="218" t="s">
        <v>310</v>
      </c>
      <c r="AB50" s="218" t="s">
        <v>271</v>
      </c>
    </row>
    <row r="51" spans="1:28" s="12" customFormat="1" ht="103.2" customHeight="1" x14ac:dyDescent="0.3">
      <c r="A51" s="243"/>
      <c r="B51" s="240"/>
      <c r="C51" s="171" t="s">
        <v>100</v>
      </c>
      <c r="D51" s="249"/>
      <c r="E51" s="216"/>
      <c r="F51" s="230"/>
      <c r="G51" s="230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9"/>
      <c r="V51" s="219"/>
      <c r="W51" s="219"/>
      <c r="X51" s="235"/>
      <c r="Y51" s="219"/>
      <c r="Z51" s="219"/>
      <c r="AA51" s="219"/>
      <c r="AB51" s="219"/>
    </row>
    <row r="52" spans="1:28" s="12" customFormat="1" ht="70.8" customHeight="1" x14ac:dyDescent="0.3">
      <c r="A52" s="243"/>
      <c r="B52" s="240"/>
      <c r="C52" s="171" t="s">
        <v>101</v>
      </c>
      <c r="D52" s="249"/>
      <c r="E52" s="216"/>
      <c r="F52" s="230"/>
      <c r="G52" s="230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9"/>
      <c r="V52" s="219"/>
      <c r="W52" s="219"/>
      <c r="X52" s="235"/>
      <c r="Y52" s="219"/>
      <c r="Z52" s="219"/>
      <c r="AA52" s="219"/>
      <c r="AB52" s="219"/>
    </row>
    <row r="53" spans="1:28" s="12" customFormat="1" ht="115.8" customHeight="1" x14ac:dyDescent="0.3">
      <c r="A53" s="243"/>
      <c r="B53" s="240"/>
      <c r="C53" s="171" t="s">
        <v>102</v>
      </c>
      <c r="D53" s="249"/>
      <c r="E53" s="216"/>
      <c r="F53" s="230"/>
      <c r="G53" s="230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9"/>
      <c r="V53" s="219"/>
      <c r="W53" s="219"/>
      <c r="X53" s="235"/>
      <c r="Y53" s="219"/>
      <c r="Z53" s="219"/>
      <c r="AA53" s="219"/>
      <c r="AB53" s="219"/>
    </row>
    <row r="54" spans="1:28" s="12" customFormat="1" ht="60" customHeight="1" x14ac:dyDescent="0.3">
      <c r="A54" s="243"/>
      <c r="B54" s="240"/>
      <c r="C54" s="171" t="s">
        <v>103</v>
      </c>
      <c r="D54" s="249"/>
      <c r="E54" s="216"/>
      <c r="F54" s="230"/>
      <c r="G54" s="230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9"/>
      <c r="V54" s="219"/>
      <c r="W54" s="219"/>
      <c r="X54" s="235"/>
      <c r="Y54" s="219"/>
      <c r="Z54" s="219"/>
      <c r="AA54" s="219"/>
      <c r="AB54" s="219"/>
    </row>
    <row r="55" spans="1:28" s="12" customFormat="1" ht="7.2" customHeight="1" x14ac:dyDescent="0.3">
      <c r="A55" s="244"/>
      <c r="B55" s="241"/>
      <c r="C55" s="171" t="s">
        <v>104</v>
      </c>
      <c r="D55" s="250"/>
      <c r="E55" s="217"/>
      <c r="F55" s="224"/>
      <c r="G55" s="224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20"/>
      <c r="V55" s="220"/>
      <c r="W55" s="220"/>
      <c r="X55" s="226"/>
      <c r="Y55" s="220"/>
      <c r="Z55" s="220"/>
      <c r="AA55" s="220"/>
      <c r="AB55" s="220"/>
    </row>
    <row r="56" spans="1:28" s="12" customFormat="1" ht="223.8" customHeight="1" x14ac:dyDescent="0.3">
      <c r="A56" s="173" t="s">
        <v>252</v>
      </c>
      <c r="B56" s="177" t="s">
        <v>61</v>
      </c>
      <c r="C56" s="171" t="s">
        <v>105</v>
      </c>
      <c r="D56" s="209" t="s">
        <v>394</v>
      </c>
      <c r="E56" s="170"/>
      <c r="F56" s="178">
        <v>409.7</v>
      </c>
      <c r="G56" s="170"/>
      <c r="H56" s="170"/>
      <c r="I56" s="170"/>
      <c r="J56" s="170"/>
      <c r="K56" s="170"/>
      <c r="L56" s="170">
        <v>409.7</v>
      </c>
      <c r="M56" s="170"/>
      <c r="N56" s="170"/>
      <c r="O56" s="170"/>
      <c r="P56" s="170"/>
      <c r="Q56" s="170">
        <v>49.4</v>
      </c>
      <c r="R56" s="170"/>
      <c r="S56" s="170"/>
      <c r="T56" s="170"/>
      <c r="U56" s="167"/>
      <c r="V56" s="167"/>
      <c r="W56" s="167"/>
      <c r="X56" s="179" t="s">
        <v>270</v>
      </c>
      <c r="Y56" s="167">
        <v>20</v>
      </c>
      <c r="Z56" s="167">
        <v>7</v>
      </c>
      <c r="AA56" s="167" t="s">
        <v>310</v>
      </c>
      <c r="AB56" s="180" t="s">
        <v>271</v>
      </c>
    </row>
    <row r="57" spans="1:28" s="12" customFormat="1" ht="183" customHeight="1" x14ac:dyDescent="0.3">
      <c r="A57" s="173" t="s">
        <v>253</v>
      </c>
      <c r="B57" s="177" t="s">
        <v>62</v>
      </c>
      <c r="C57" s="171" t="s">
        <v>106</v>
      </c>
      <c r="D57" s="209" t="s">
        <v>394</v>
      </c>
      <c r="E57" s="170"/>
      <c r="F57" s="178">
        <v>33755.5</v>
      </c>
      <c r="G57" s="170"/>
      <c r="H57" s="170"/>
      <c r="I57" s="170"/>
      <c r="J57" s="170"/>
      <c r="K57" s="170"/>
      <c r="L57" s="170">
        <v>33755.5</v>
      </c>
      <c r="M57" s="170"/>
      <c r="N57" s="170"/>
      <c r="O57" s="170"/>
      <c r="P57" s="170"/>
      <c r="Q57" s="170">
        <v>11555.3</v>
      </c>
      <c r="R57" s="170"/>
      <c r="S57" s="170"/>
      <c r="T57" s="170"/>
      <c r="U57" s="167"/>
      <c r="V57" s="167"/>
      <c r="W57" s="167"/>
      <c r="X57" s="179" t="s">
        <v>270</v>
      </c>
      <c r="Y57" s="167">
        <v>1274</v>
      </c>
      <c r="Z57" s="167">
        <v>1274</v>
      </c>
      <c r="AA57" s="167" t="s">
        <v>524</v>
      </c>
      <c r="AB57" s="167"/>
    </row>
    <row r="58" spans="1:28" s="12" customFormat="1" ht="318.60000000000002" customHeight="1" x14ac:dyDescent="0.3">
      <c r="A58" s="173" t="s">
        <v>254</v>
      </c>
      <c r="B58" s="177" t="s">
        <v>63</v>
      </c>
      <c r="C58" s="171" t="s">
        <v>107</v>
      </c>
      <c r="D58" s="209" t="s">
        <v>394</v>
      </c>
      <c r="E58" s="170"/>
      <c r="F58" s="178">
        <v>12596.2</v>
      </c>
      <c r="G58" s="170"/>
      <c r="H58" s="170"/>
      <c r="I58" s="170"/>
      <c r="J58" s="170"/>
      <c r="K58" s="170"/>
      <c r="L58" s="170">
        <v>12596.2</v>
      </c>
      <c r="M58" s="170"/>
      <c r="N58" s="170"/>
      <c r="O58" s="170"/>
      <c r="P58" s="170"/>
      <c r="Q58" s="170">
        <v>5414.2</v>
      </c>
      <c r="R58" s="170"/>
      <c r="S58" s="170"/>
      <c r="T58" s="170"/>
      <c r="U58" s="167"/>
      <c r="V58" s="167"/>
      <c r="W58" s="167"/>
      <c r="X58" s="179" t="s">
        <v>301</v>
      </c>
      <c r="Y58" s="179">
        <v>29820</v>
      </c>
      <c r="Z58" s="167">
        <v>10880.8</v>
      </c>
      <c r="AA58" s="167" t="s">
        <v>310</v>
      </c>
      <c r="AB58" s="180" t="s">
        <v>271</v>
      </c>
    </row>
    <row r="59" spans="1:28" s="12" customFormat="1" ht="118.2" customHeight="1" x14ac:dyDescent="0.3">
      <c r="A59" s="173" t="s">
        <v>303</v>
      </c>
      <c r="B59" s="177" t="s">
        <v>64</v>
      </c>
      <c r="C59" s="171" t="s">
        <v>108</v>
      </c>
      <c r="D59" s="209" t="s">
        <v>394</v>
      </c>
      <c r="E59" s="170"/>
      <c r="F59" s="178">
        <v>974190.9</v>
      </c>
      <c r="G59" s="178"/>
      <c r="H59" s="170"/>
      <c r="I59" s="170"/>
      <c r="J59" s="170"/>
      <c r="K59" s="170"/>
      <c r="L59" s="170">
        <v>974190.9</v>
      </c>
      <c r="M59" s="170"/>
      <c r="N59" s="170"/>
      <c r="O59" s="170"/>
      <c r="P59" s="170"/>
      <c r="Q59" s="170">
        <v>182823.3</v>
      </c>
      <c r="R59" s="170"/>
      <c r="S59" s="170"/>
      <c r="T59" s="170"/>
      <c r="U59" s="167"/>
      <c r="V59" s="167"/>
      <c r="W59" s="167"/>
      <c r="X59" s="179" t="s">
        <v>270</v>
      </c>
      <c r="Y59" s="167">
        <v>89635</v>
      </c>
      <c r="Z59" s="167">
        <v>38977</v>
      </c>
      <c r="AA59" s="167" t="s">
        <v>310</v>
      </c>
      <c r="AB59" s="180" t="s">
        <v>271</v>
      </c>
    </row>
    <row r="60" spans="1:28" s="12" customFormat="1" ht="162" x14ac:dyDescent="0.3">
      <c r="A60" s="173" t="s">
        <v>255</v>
      </c>
      <c r="B60" s="177" t="s">
        <v>65</v>
      </c>
      <c r="C60" s="171" t="s">
        <v>109</v>
      </c>
      <c r="D60" s="209" t="s">
        <v>394</v>
      </c>
      <c r="E60" s="170">
        <v>69715.3</v>
      </c>
      <c r="F60" s="170"/>
      <c r="G60" s="170"/>
      <c r="H60" s="170"/>
      <c r="I60" s="170"/>
      <c r="J60" s="170">
        <v>69715.3</v>
      </c>
      <c r="K60" s="170"/>
      <c r="L60" s="170"/>
      <c r="M60" s="170"/>
      <c r="N60" s="170"/>
      <c r="O60" s="170">
        <v>14639.7</v>
      </c>
      <c r="P60" s="170"/>
      <c r="Q60" s="170"/>
      <c r="R60" s="170"/>
      <c r="S60" s="170"/>
      <c r="T60" s="170"/>
      <c r="U60" s="167"/>
      <c r="V60" s="167"/>
      <c r="W60" s="167"/>
      <c r="X60" s="179" t="s">
        <v>270</v>
      </c>
      <c r="Y60" s="167">
        <v>52</v>
      </c>
      <c r="Z60" s="167">
        <v>11</v>
      </c>
      <c r="AA60" s="167" t="s">
        <v>310</v>
      </c>
      <c r="AB60" s="180" t="s">
        <v>271</v>
      </c>
    </row>
    <row r="61" spans="1:28" s="12" customFormat="1" ht="157.94999999999999" customHeight="1" x14ac:dyDescent="0.3">
      <c r="A61" s="173" t="s">
        <v>256</v>
      </c>
      <c r="B61" s="177" t="s">
        <v>66</v>
      </c>
      <c r="C61" s="171" t="s">
        <v>110</v>
      </c>
      <c r="D61" s="209" t="s">
        <v>394</v>
      </c>
      <c r="E61" s="170">
        <v>29957.1</v>
      </c>
      <c r="F61" s="170"/>
      <c r="G61" s="170"/>
      <c r="H61" s="170"/>
      <c r="I61" s="170"/>
      <c r="J61" s="170">
        <v>29957.1</v>
      </c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67"/>
      <c r="V61" s="167"/>
      <c r="W61" s="167"/>
      <c r="X61" s="179" t="s">
        <v>270</v>
      </c>
      <c r="Y61" s="167">
        <v>45</v>
      </c>
      <c r="Z61" s="167" t="s">
        <v>280</v>
      </c>
      <c r="AA61" s="167" t="s">
        <v>310</v>
      </c>
      <c r="AB61" s="179" t="s">
        <v>312</v>
      </c>
    </row>
    <row r="62" spans="1:28" s="12" customFormat="1" ht="252" customHeight="1" x14ac:dyDescent="0.3">
      <c r="A62" s="173" t="s">
        <v>257</v>
      </c>
      <c r="B62" s="177" t="s">
        <v>67</v>
      </c>
      <c r="C62" s="171" t="s">
        <v>111</v>
      </c>
      <c r="D62" s="209" t="s">
        <v>394</v>
      </c>
      <c r="E62" s="170">
        <v>17187.400000000001</v>
      </c>
      <c r="F62" s="170"/>
      <c r="G62" s="170"/>
      <c r="H62" s="170"/>
      <c r="I62" s="170"/>
      <c r="J62" s="170">
        <v>17187.400000000001</v>
      </c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67"/>
      <c r="V62" s="167"/>
      <c r="W62" s="167"/>
      <c r="X62" s="179" t="s">
        <v>270</v>
      </c>
      <c r="Y62" s="167">
        <v>25</v>
      </c>
      <c r="Z62" s="167" t="s">
        <v>280</v>
      </c>
      <c r="AA62" s="167" t="s">
        <v>310</v>
      </c>
      <c r="AB62" s="179" t="s">
        <v>312</v>
      </c>
    </row>
    <row r="63" spans="1:28" s="12" customFormat="1" ht="97.8" customHeight="1" x14ac:dyDescent="0.3">
      <c r="A63" s="173" t="s">
        <v>112</v>
      </c>
      <c r="B63" s="168" t="s">
        <v>262</v>
      </c>
      <c r="C63" s="171"/>
      <c r="D63" s="209"/>
      <c r="E63" s="170">
        <f>E64+E67+E76+E77+E78+E79+E80+E81+E82+E83+E84+E85</f>
        <v>0</v>
      </c>
      <c r="F63" s="170">
        <f>F64+F67+F76+F77+F78+F79+F80+F81+F82+F83+F84+F85</f>
        <v>9704747.9000000022</v>
      </c>
      <c r="G63" s="170">
        <f t="shared" ref="G63:T63" si="3">G64+G67+G76+G77+G78+G79+G80+G81+G82+G83+G84+G85</f>
        <v>0</v>
      </c>
      <c r="H63" s="170">
        <f t="shared" si="3"/>
        <v>0</v>
      </c>
      <c r="I63" s="170">
        <f>I64+I67+I76+I77+I78+I79+I80+I81+I82+I83+I84+I85</f>
        <v>18440.7</v>
      </c>
      <c r="J63" s="170">
        <f t="shared" si="3"/>
        <v>0</v>
      </c>
      <c r="K63" s="170">
        <f t="shared" si="3"/>
        <v>0</v>
      </c>
      <c r="L63" s="170">
        <f>L64+L67+L76+L77+L78+L79+L80+L81+L82+L83+L84+L85</f>
        <v>9741243.6000000015</v>
      </c>
      <c r="M63" s="170">
        <f t="shared" si="3"/>
        <v>0</v>
      </c>
      <c r="N63" s="170">
        <f t="shared" si="3"/>
        <v>0</v>
      </c>
      <c r="O63" s="170">
        <f t="shared" si="3"/>
        <v>0</v>
      </c>
      <c r="P63" s="170">
        <f t="shared" si="3"/>
        <v>0</v>
      </c>
      <c r="Q63" s="170">
        <f>Q64+Q67+Q76+Q77+Q78+Q79+Q80+Q81+Q82+Q83+Q84+Q85</f>
        <v>1988675.5</v>
      </c>
      <c r="R63" s="170">
        <f t="shared" si="3"/>
        <v>0</v>
      </c>
      <c r="S63" s="170">
        <f t="shared" si="3"/>
        <v>0</v>
      </c>
      <c r="T63" s="170">
        <f t="shared" si="3"/>
        <v>0</v>
      </c>
      <c r="U63" s="167"/>
      <c r="V63" s="167"/>
      <c r="W63" s="167"/>
      <c r="X63" s="167"/>
      <c r="Y63" s="167"/>
      <c r="Z63" s="167"/>
      <c r="AA63" s="167" t="s">
        <v>310</v>
      </c>
      <c r="AB63" s="167"/>
    </row>
    <row r="64" spans="1:28" s="12" customFormat="1" ht="143.4" customHeight="1" x14ac:dyDescent="0.3">
      <c r="A64" s="173" t="s">
        <v>206</v>
      </c>
      <c r="B64" s="177" t="s">
        <v>113</v>
      </c>
      <c r="C64" s="171" t="s">
        <v>132</v>
      </c>
      <c r="D64" s="209" t="s">
        <v>394</v>
      </c>
      <c r="E64" s="170"/>
      <c r="F64" s="178">
        <v>19500</v>
      </c>
      <c r="G64" s="170"/>
      <c r="H64" s="170"/>
      <c r="I64" s="170"/>
      <c r="J64" s="170"/>
      <c r="K64" s="170"/>
      <c r="L64" s="170">
        <v>19500</v>
      </c>
      <c r="M64" s="170"/>
      <c r="N64" s="170"/>
      <c r="O64" s="170"/>
      <c r="P64" s="170"/>
      <c r="Q64" s="170">
        <v>3335.4</v>
      </c>
      <c r="R64" s="170"/>
      <c r="S64" s="170"/>
      <c r="T64" s="170"/>
      <c r="U64" s="167"/>
      <c r="V64" s="167"/>
      <c r="W64" s="167"/>
      <c r="X64" s="167" t="s">
        <v>270</v>
      </c>
      <c r="Y64" s="167">
        <v>1181</v>
      </c>
      <c r="Z64" s="167">
        <v>94</v>
      </c>
      <c r="AA64" s="167" t="s">
        <v>310</v>
      </c>
      <c r="AB64" s="167"/>
    </row>
    <row r="65" spans="1:28" s="12" customFormat="1" ht="118.2" customHeight="1" x14ac:dyDescent="0.3">
      <c r="A65" s="173" t="s">
        <v>199</v>
      </c>
      <c r="B65" s="177" t="s">
        <v>114</v>
      </c>
      <c r="C65" s="171" t="s">
        <v>132</v>
      </c>
      <c r="D65" s="209" t="s">
        <v>394</v>
      </c>
      <c r="E65" s="170"/>
      <c r="F65" s="170">
        <v>10633.3</v>
      </c>
      <c r="G65" s="170"/>
      <c r="H65" s="170"/>
      <c r="I65" s="170"/>
      <c r="J65" s="170"/>
      <c r="K65" s="170"/>
      <c r="L65" s="170">
        <v>10633.3</v>
      </c>
      <c r="M65" s="170"/>
      <c r="N65" s="170"/>
      <c r="O65" s="170"/>
      <c r="P65" s="170"/>
      <c r="Q65" s="170">
        <f>Q64-Q66</f>
        <v>1513.6000000000001</v>
      </c>
      <c r="R65" s="170"/>
      <c r="S65" s="170"/>
      <c r="T65" s="170"/>
      <c r="U65" s="167"/>
      <c r="V65" s="167"/>
      <c r="W65" s="167" t="s">
        <v>13</v>
      </c>
      <c r="X65" s="167" t="s">
        <v>13</v>
      </c>
      <c r="Y65" s="167" t="s">
        <v>13</v>
      </c>
      <c r="Z65" s="167" t="s">
        <v>13</v>
      </c>
      <c r="AA65" s="167" t="s">
        <v>13</v>
      </c>
      <c r="AB65" s="167" t="s">
        <v>13</v>
      </c>
    </row>
    <row r="66" spans="1:28" s="12" customFormat="1" ht="127.8" customHeight="1" x14ac:dyDescent="0.3">
      <c r="A66" s="173" t="s">
        <v>207</v>
      </c>
      <c r="B66" s="177" t="s">
        <v>115</v>
      </c>
      <c r="C66" s="171" t="s">
        <v>132</v>
      </c>
      <c r="D66" s="209" t="s">
        <v>394</v>
      </c>
      <c r="E66" s="170"/>
      <c r="F66" s="170">
        <v>8866.7000000000007</v>
      </c>
      <c r="G66" s="170"/>
      <c r="H66" s="170"/>
      <c r="I66" s="170"/>
      <c r="J66" s="170"/>
      <c r="K66" s="170"/>
      <c r="L66" s="195">
        <v>8866.7000000000007</v>
      </c>
      <c r="M66" s="195"/>
      <c r="N66" s="195"/>
      <c r="O66" s="195"/>
      <c r="P66" s="195"/>
      <c r="Q66" s="195">
        <v>1821.8</v>
      </c>
      <c r="R66" s="170"/>
      <c r="S66" s="170"/>
      <c r="T66" s="170"/>
      <c r="U66" s="167"/>
      <c r="V66" s="167"/>
      <c r="W66" s="167" t="s">
        <v>13</v>
      </c>
      <c r="X66" s="167" t="s">
        <v>13</v>
      </c>
      <c r="Y66" s="167" t="s">
        <v>13</v>
      </c>
      <c r="Z66" s="167" t="s">
        <v>13</v>
      </c>
      <c r="AA66" s="167" t="s">
        <v>13</v>
      </c>
      <c r="AB66" s="167" t="s">
        <v>13</v>
      </c>
    </row>
    <row r="67" spans="1:28" s="12" customFormat="1" ht="141" customHeight="1" x14ac:dyDescent="0.3">
      <c r="A67" s="173" t="s">
        <v>201</v>
      </c>
      <c r="B67" s="177" t="s">
        <v>116</v>
      </c>
      <c r="C67" s="171"/>
      <c r="D67" s="209" t="s">
        <v>394</v>
      </c>
      <c r="E67" s="170"/>
      <c r="F67" s="170">
        <f>F68+F71</f>
        <v>9653538.6000000015</v>
      </c>
      <c r="G67" s="170"/>
      <c r="H67" s="170"/>
      <c r="I67" s="170"/>
      <c r="J67" s="170"/>
      <c r="K67" s="170"/>
      <c r="L67" s="195">
        <f>L68+L71</f>
        <v>9671593.6000000015</v>
      </c>
      <c r="M67" s="195"/>
      <c r="N67" s="195"/>
      <c r="O67" s="195"/>
      <c r="P67" s="195"/>
      <c r="Q67" s="195">
        <f>Q68+Q72+Q73+Q74+Q75</f>
        <v>1979119.1</v>
      </c>
      <c r="R67" s="170"/>
      <c r="S67" s="170"/>
      <c r="T67" s="170"/>
      <c r="U67" s="167"/>
      <c r="V67" s="167" t="s">
        <v>13</v>
      </c>
      <c r="W67" s="167" t="s">
        <v>13</v>
      </c>
      <c r="X67" s="167" t="s">
        <v>13</v>
      </c>
      <c r="Y67" s="167" t="s">
        <v>13</v>
      </c>
      <c r="Z67" s="167" t="s">
        <v>13</v>
      </c>
      <c r="AA67" s="167" t="s">
        <v>13</v>
      </c>
      <c r="AB67" s="167" t="s">
        <v>13</v>
      </c>
    </row>
    <row r="68" spans="1:28" s="12" customFormat="1" ht="39" customHeight="1" x14ac:dyDescent="0.3">
      <c r="A68" s="242" t="s">
        <v>208</v>
      </c>
      <c r="B68" s="239" t="s">
        <v>117</v>
      </c>
      <c r="C68" s="171" t="s">
        <v>133</v>
      </c>
      <c r="D68" s="248" t="s">
        <v>394</v>
      </c>
      <c r="E68" s="215"/>
      <c r="F68" s="215">
        <v>953344</v>
      </c>
      <c r="G68" s="215"/>
      <c r="H68" s="215"/>
      <c r="I68" s="215"/>
      <c r="J68" s="215"/>
      <c r="K68" s="215"/>
      <c r="L68" s="236">
        <f>955395.9+6200+485.1</f>
        <v>962081</v>
      </c>
      <c r="M68" s="236"/>
      <c r="N68" s="236"/>
      <c r="O68" s="236"/>
      <c r="P68" s="236"/>
      <c r="Q68" s="236">
        <f>169165.7+93.5+221.8</f>
        <v>169481</v>
      </c>
      <c r="R68" s="215"/>
      <c r="S68" s="215"/>
      <c r="T68" s="215"/>
      <c r="U68" s="218"/>
      <c r="V68" s="218"/>
      <c r="W68" s="218"/>
      <c r="X68" s="225" t="s">
        <v>305</v>
      </c>
      <c r="Y68" s="218">
        <v>51</v>
      </c>
      <c r="Z68" s="218">
        <v>51</v>
      </c>
      <c r="AA68" s="218" t="s">
        <v>310</v>
      </c>
      <c r="AB68" s="225" t="s">
        <v>297</v>
      </c>
    </row>
    <row r="69" spans="1:28" s="12" customFormat="1" ht="38.25" customHeight="1" x14ac:dyDescent="0.3">
      <c r="A69" s="243"/>
      <c r="B69" s="240"/>
      <c r="C69" s="171" t="s">
        <v>134</v>
      </c>
      <c r="D69" s="249"/>
      <c r="E69" s="216"/>
      <c r="F69" s="216"/>
      <c r="G69" s="216"/>
      <c r="H69" s="216"/>
      <c r="I69" s="216"/>
      <c r="J69" s="216"/>
      <c r="K69" s="216"/>
      <c r="L69" s="237"/>
      <c r="M69" s="237"/>
      <c r="N69" s="237"/>
      <c r="O69" s="237"/>
      <c r="P69" s="237"/>
      <c r="Q69" s="237"/>
      <c r="R69" s="216"/>
      <c r="S69" s="216"/>
      <c r="T69" s="216"/>
      <c r="U69" s="219"/>
      <c r="V69" s="219"/>
      <c r="W69" s="219"/>
      <c r="X69" s="235"/>
      <c r="Y69" s="219"/>
      <c r="Z69" s="219"/>
      <c r="AA69" s="219"/>
      <c r="AB69" s="235"/>
    </row>
    <row r="70" spans="1:28" s="11" customFormat="1" ht="37.200000000000003" customHeight="1" x14ac:dyDescent="0.3">
      <c r="A70" s="244"/>
      <c r="B70" s="241"/>
      <c r="C70" s="171" t="s">
        <v>135</v>
      </c>
      <c r="D70" s="250"/>
      <c r="E70" s="217"/>
      <c r="F70" s="217"/>
      <c r="G70" s="217"/>
      <c r="H70" s="217"/>
      <c r="I70" s="217"/>
      <c r="J70" s="217"/>
      <c r="K70" s="217"/>
      <c r="L70" s="238"/>
      <c r="M70" s="238"/>
      <c r="N70" s="238"/>
      <c r="O70" s="238"/>
      <c r="P70" s="238"/>
      <c r="Q70" s="238"/>
      <c r="R70" s="217"/>
      <c r="S70" s="217"/>
      <c r="T70" s="217"/>
      <c r="U70" s="220"/>
      <c r="V70" s="220"/>
      <c r="W70" s="220"/>
      <c r="X70" s="226"/>
      <c r="Y70" s="220"/>
      <c r="Z70" s="220"/>
      <c r="AA70" s="220"/>
      <c r="AB70" s="226"/>
    </row>
    <row r="71" spans="1:28" s="12" customFormat="1" ht="80.400000000000006" customHeight="1" x14ac:dyDescent="0.3">
      <c r="A71" s="173" t="s">
        <v>209</v>
      </c>
      <c r="B71" s="177" t="s">
        <v>118</v>
      </c>
      <c r="C71" s="171"/>
      <c r="D71" s="209" t="s">
        <v>394</v>
      </c>
      <c r="E71" s="170"/>
      <c r="F71" s="178">
        <f>F72+F73+F74+F75</f>
        <v>8700194.6000000015</v>
      </c>
      <c r="G71" s="178"/>
      <c r="H71" s="170"/>
      <c r="I71" s="170"/>
      <c r="J71" s="170"/>
      <c r="K71" s="170"/>
      <c r="L71" s="195">
        <f>L72+L73+L74+L75</f>
        <v>8709512.6000000015</v>
      </c>
      <c r="M71" s="195"/>
      <c r="N71" s="195"/>
      <c r="O71" s="195"/>
      <c r="P71" s="195"/>
      <c r="Q71" s="195">
        <v>1809638.1</v>
      </c>
      <c r="R71" s="170"/>
      <c r="S71" s="170"/>
      <c r="T71" s="170"/>
      <c r="U71" s="167"/>
      <c r="V71" s="167" t="s">
        <v>13</v>
      </c>
      <c r="W71" s="167" t="s">
        <v>13</v>
      </c>
      <c r="X71" s="167" t="s">
        <v>13</v>
      </c>
      <c r="Y71" s="167" t="s">
        <v>13</v>
      </c>
      <c r="Z71" s="167" t="s">
        <v>13</v>
      </c>
      <c r="AA71" s="167" t="s">
        <v>13</v>
      </c>
      <c r="AB71" s="167" t="s">
        <v>13</v>
      </c>
    </row>
    <row r="72" spans="1:28" s="12" customFormat="1" ht="67.8" customHeight="1" x14ac:dyDescent="0.3">
      <c r="A72" s="173" t="s">
        <v>210</v>
      </c>
      <c r="B72" s="177" t="s">
        <v>119</v>
      </c>
      <c r="C72" s="171" t="s">
        <v>133</v>
      </c>
      <c r="D72" s="209" t="s">
        <v>394</v>
      </c>
      <c r="E72" s="170"/>
      <c r="F72" s="178">
        <v>8606578.8000000007</v>
      </c>
      <c r="G72" s="178"/>
      <c r="H72" s="170"/>
      <c r="I72" s="170"/>
      <c r="J72" s="170"/>
      <c r="K72" s="170"/>
      <c r="L72" s="195">
        <f>8616576.8-680</f>
        <v>8615896.8000000007</v>
      </c>
      <c r="M72" s="195"/>
      <c r="N72" s="195"/>
      <c r="O72" s="195"/>
      <c r="P72" s="195"/>
      <c r="Q72" s="195">
        <f>1799022.3-680</f>
        <v>1798342.3</v>
      </c>
      <c r="R72" s="170"/>
      <c r="S72" s="170"/>
      <c r="T72" s="170"/>
      <c r="U72" s="167"/>
      <c r="V72" s="167"/>
      <c r="W72" s="167"/>
      <c r="X72" s="179" t="s">
        <v>270</v>
      </c>
      <c r="Y72" s="167">
        <f>133714+270+179661+18516</f>
        <v>332161</v>
      </c>
      <c r="Z72" s="167">
        <v>160384</v>
      </c>
      <c r="AA72" s="167" t="s">
        <v>314</v>
      </c>
      <c r="AB72" s="167"/>
    </row>
    <row r="73" spans="1:28" s="12" customFormat="1" ht="52.8" customHeight="1" x14ac:dyDescent="0.3">
      <c r="A73" s="173" t="s">
        <v>211</v>
      </c>
      <c r="B73" s="177" t="s">
        <v>120</v>
      </c>
      <c r="C73" s="171" t="s">
        <v>134</v>
      </c>
      <c r="D73" s="209" t="s">
        <v>394</v>
      </c>
      <c r="E73" s="170"/>
      <c r="F73" s="170">
        <v>70059.399999999994</v>
      </c>
      <c r="G73" s="170"/>
      <c r="H73" s="170"/>
      <c r="I73" s="170"/>
      <c r="J73" s="170"/>
      <c r="K73" s="170"/>
      <c r="L73" s="195">
        <v>70059.399999999994</v>
      </c>
      <c r="M73" s="195"/>
      <c r="N73" s="195"/>
      <c r="O73" s="195"/>
      <c r="P73" s="195"/>
      <c r="Q73" s="195">
        <v>6028</v>
      </c>
      <c r="R73" s="170"/>
      <c r="S73" s="170"/>
      <c r="T73" s="170"/>
      <c r="U73" s="167"/>
      <c r="V73" s="167"/>
      <c r="W73" s="167"/>
      <c r="X73" s="179" t="s">
        <v>305</v>
      </c>
      <c r="Y73" s="167">
        <v>21</v>
      </c>
      <c r="Z73" s="167"/>
      <c r="AA73" s="167" t="s">
        <v>310</v>
      </c>
      <c r="AB73" s="179" t="s">
        <v>510</v>
      </c>
    </row>
    <row r="74" spans="1:28" s="12" customFormat="1" ht="205.2" customHeight="1" x14ac:dyDescent="0.3">
      <c r="A74" s="173" t="s">
        <v>212</v>
      </c>
      <c r="B74" s="177" t="s">
        <v>121</v>
      </c>
      <c r="C74" s="171" t="s">
        <v>135</v>
      </c>
      <c r="D74" s="209" t="s">
        <v>394</v>
      </c>
      <c r="E74" s="170"/>
      <c r="F74" s="170">
        <v>22876.400000000001</v>
      </c>
      <c r="G74" s="170"/>
      <c r="H74" s="170"/>
      <c r="I74" s="170"/>
      <c r="J74" s="170"/>
      <c r="K74" s="170"/>
      <c r="L74" s="195">
        <v>22876.400000000001</v>
      </c>
      <c r="M74" s="195"/>
      <c r="N74" s="195"/>
      <c r="O74" s="195"/>
      <c r="P74" s="195"/>
      <c r="Q74" s="195">
        <v>4587.8</v>
      </c>
      <c r="R74" s="170"/>
      <c r="S74" s="170"/>
      <c r="T74" s="170"/>
      <c r="U74" s="167"/>
      <c r="V74" s="167"/>
      <c r="W74" s="179"/>
      <c r="X74" s="167" t="s">
        <v>270</v>
      </c>
      <c r="Y74" s="167">
        <v>9729</v>
      </c>
      <c r="Z74" s="167">
        <v>9455</v>
      </c>
      <c r="AA74" s="167" t="s">
        <v>310</v>
      </c>
      <c r="AB74" s="179" t="s">
        <v>304</v>
      </c>
    </row>
    <row r="75" spans="1:28" s="12" customFormat="1" ht="80.400000000000006" customHeight="1" x14ac:dyDescent="0.3">
      <c r="A75" s="173" t="s">
        <v>213</v>
      </c>
      <c r="B75" s="177" t="s">
        <v>122</v>
      </c>
      <c r="C75" s="171" t="s">
        <v>133</v>
      </c>
      <c r="D75" s="209" t="s">
        <v>394</v>
      </c>
      <c r="E75" s="170"/>
      <c r="F75" s="178">
        <v>680</v>
      </c>
      <c r="G75" s="170"/>
      <c r="H75" s="170"/>
      <c r="I75" s="170"/>
      <c r="J75" s="170"/>
      <c r="K75" s="170"/>
      <c r="L75" s="170">
        <v>680</v>
      </c>
      <c r="M75" s="170"/>
      <c r="N75" s="170"/>
      <c r="O75" s="170"/>
      <c r="P75" s="170"/>
      <c r="Q75" s="170">
        <v>680</v>
      </c>
      <c r="R75" s="170"/>
      <c r="S75" s="170"/>
      <c r="T75" s="170"/>
      <c r="U75" s="167"/>
      <c r="V75" s="167"/>
      <c r="W75" s="167"/>
      <c r="X75" s="167"/>
      <c r="Y75" s="167">
        <v>1</v>
      </c>
      <c r="Z75" s="167"/>
      <c r="AA75" s="167" t="s">
        <v>310</v>
      </c>
      <c r="AB75" s="179" t="s">
        <v>510</v>
      </c>
    </row>
    <row r="76" spans="1:28" s="12" customFormat="1" ht="240.6" customHeight="1" x14ac:dyDescent="0.3">
      <c r="A76" s="173" t="s">
        <v>205</v>
      </c>
      <c r="B76" s="177" t="s">
        <v>123</v>
      </c>
      <c r="C76" s="171" t="s">
        <v>136</v>
      </c>
      <c r="D76" s="209" t="s">
        <v>394</v>
      </c>
      <c r="E76" s="170"/>
      <c r="F76" s="170">
        <v>1500</v>
      </c>
      <c r="G76" s="170"/>
      <c r="H76" s="170"/>
      <c r="I76" s="170"/>
      <c r="J76" s="170"/>
      <c r="K76" s="170"/>
      <c r="L76" s="170">
        <v>1500</v>
      </c>
      <c r="M76" s="170"/>
      <c r="N76" s="170"/>
      <c r="O76" s="170"/>
      <c r="P76" s="170"/>
      <c r="Q76" s="170">
        <v>1500</v>
      </c>
      <c r="R76" s="170"/>
      <c r="S76" s="170"/>
      <c r="T76" s="170"/>
      <c r="U76" s="167"/>
      <c r="V76" s="167"/>
      <c r="W76" s="167"/>
      <c r="X76" s="167"/>
      <c r="Y76" s="179" t="s">
        <v>315</v>
      </c>
      <c r="Z76" s="167"/>
      <c r="AA76" s="167" t="s">
        <v>310</v>
      </c>
      <c r="AB76" s="167"/>
    </row>
    <row r="77" spans="1:28" s="12" customFormat="1" ht="111.6" customHeight="1" x14ac:dyDescent="0.3">
      <c r="A77" s="173" t="s">
        <v>214</v>
      </c>
      <c r="B77" s="177" t="s">
        <v>124</v>
      </c>
      <c r="C77" s="171" t="s">
        <v>137</v>
      </c>
      <c r="D77" s="209" t="s">
        <v>394</v>
      </c>
      <c r="E77" s="170"/>
      <c r="F77" s="170">
        <v>4014.5</v>
      </c>
      <c r="G77" s="170"/>
      <c r="H77" s="170"/>
      <c r="I77" s="170">
        <v>8133.4</v>
      </c>
      <c r="J77" s="170"/>
      <c r="K77" s="170"/>
      <c r="L77" s="170">
        <f>4014.5+8133.4</f>
        <v>12147.9</v>
      </c>
      <c r="M77" s="170"/>
      <c r="N77" s="170"/>
      <c r="O77" s="170"/>
      <c r="P77" s="170"/>
      <c r="Q77" s="170">
        <v>1200</v>
      </c>
      <c r="R77" s="170"/>
      <c r="S77" s="170"/>
      <c r="T77" s="170"/>
      <c r="U77" s="167"/>
      <c r="V77" s="167"/>
      <c r="W77" s="167"/>
      <c r="X77" s="179" t="s">
        <v>305</v>
      </c>
      <c r="Y77" s="167">
        <v>3</v>
      </c>
      <c r="Z77" s="167">
        <v>0</v>
      </c>
      <c r="AA77" s="167" t="s">
        <v>310</v>
      </c>
      <c r="AB77" s="179" t="s">
        <v>510</v>
      </c>
    </row>
    <row r="78" spans="1:28" s="12" customFormat="1" ht="235.8" customHeight="1" x14ac:dyDescent="0.3">
      <c r="A78" s="173" t="s">
        <v>215</v>
      </c>
      <c r="B78" s="177" t="s">
        <v>125</v>
      </c>
      <c r="C78" s="171" t="s">
        <v>137</v>
      </c>
      <c r="D78" s="209" t="s">
        <v>394</v>
      </c>
      <c r="E78" s="170"/>
      <c r="F78" s="170">
        <v>990</v>
      </c>
      <c r="G78" s="170"/>
      <c r="H78" s="170"/>
      <c r="I78" s="170">
        <v>2010</v>
      </c>
      <c r="J78" s="170"/>
      <c r="K78" s="170"/>
      <c r="L78" s="170">
        <f>990+2010</f>
        <v>3000</v>
      </c>
      <c r="M78" s="170"/>
      <c r="N78" s="170"/>
      <c r="O78" s="170"/>
      <c r="P78" s="170"/>
      <c r="Q78" s="170"/>
      <c r="R78" s="170"/>
      <c r="S78" s="170"/>
      <c r="T78" s="170"/>
      <c r="U78" s="167"/>
      <c r="V78" s="167"/>
      <c r="W78" s="167"/>
      <c r="X78" s="179" t="s">
        <v>305</v>
      </c>
      <c r="Y78" s="167">
        <v>3</v>
      </c>
      <c r="Z78" s="167">
        <v>0</v>
      </c>
      <c r="AA78" s="167" t="s">
        <v>310</v>
      </c>
      <c r="AB78" s="179" t="s">
        <v>510</v>
      </c>
    </row>
    <row r="79" spans="1:28" s="12" customFormat="1" ht="188.4" customHeight="1" x14ac:dyDescent="0.3">
      <c r="A79" s="173" t="s">
        <v>216</v>
      </c>
      <c r="B79" s="177" t="s">
        <v>126</v>
      </c>
      <c r="C79" s="171" t="s">
        <v>137</v>
      </c>
      <c r="D79" s="209" t="s">
        <v>394</v>
      </c>
      <c r="E79" s="170"/>
      <c r="F79" s="170">
        <v>3165</v>
      </c>
      <c r="G79" s="170"/>
      <c r="H79" s="170"/>
      <c r="I79" s="170">
        <v>6365</v>
      </c>
      <c r="J79" s="170"/>
      <c r="K79" s="170"/>
      <c r="L79" s="170">
        <f>3165+6365</f>
        <v>9530</v>
      </c>
      <c r="M79" s="170"/>
      <c r="N79" s="170"/>
      <c r="O79" s="170"/>
      <c r="P79" s="170"/>
      <c r="Q79" s="170"/>
      <c r="R79" s="170"/>
      <c r="S79" s="170"/>
      <c r="T79" s="170"/>
      <c r="U79" s="167"/>
      <c r="V79" s="167"/>
      <c r="W79" s="179"/>
      <c r="X79" s="179" t="s">
        <v>296</v>
      </c>
      <c r="Y79" s="167">
        <v>5</v>
      </c>
      <c r="Z79" s="167">
        <v>0</v>
      </c>
      <c r="AA79" s="167" t="s">
        <v>310</v>
      </c>
      <c r="AB79" s="179" t="s">
        <v>297</v>
      </c>
    </row>
    <row r="80" spans="1:28" s="12" customFormat="1" ht="141" customHeight="1" x14ac:dyDescent="0.3">
      <c r="A80" s="173" t="s">
        <v>218</v>
      </c>
      <c r="B80" s="177" t="s">
        <v>127</v>
      </c>
      <c r="C80" s="171" t="s">
        <v>138</v>
      </c>
      <c r="D80" s="209" t="s">
        <v>394</v>
      </c>
      <c r="E80" s="170"/>
      <c r="F80" s="170">
        <v>700</v>
      </c>
      <c r="G80" s="170"/>
      <c r="H80" s="170"/>
      <c r="I80" s="170"/>
      <c r="J80" s="170"/>
      <c r="K80" s="170"/>
      <c r="L80" s="170">
        <v>700</v>
      </c>
      <c r="M80" s="170"/>
      <c r="N80" s="170"/>
      <c r="O80" s="170"/>
      <c r="P80" s="170"/>
      <c r="Q80" s="170"/>
      <c r="R80" s="170"/>
      <c r="S80" s="170"/>
      <c r="T80" s="170"/>
      <c r="U80" s="167"/>
      <c r="V80" s="167"/>
      <c r="W80" s="167"/>
      <c r="X80" s="179" t="s">
        <v>270</v>
      </c>
      <c r="Y80" s="167">
        <v>1000</v>
      </c>
      <c r="Z80" s="167">
        <v>0</v>
      </c>
      <c r="AA80" s="167" t="s">
        <v>310</v>
      </c>
      <c r="AB80" s="179" t="s">
        <v>297</v>
      </c>
    </row>
    <row r="81" spans="1:28" s="12" customFormat="1" ht="121.2" customHeight="1" x14ac:dyDescent="0.3">
      <c r="A81" s="173" t="s">
        <v>219</v>
      </c>
      <c r="B81" s="177" t="s">
        <v>128</v>
      </c>
      <c r="C81" s="171" t="s">
        <v>138</v>
      </c>
      <c r="D81" s="209" t="s">
        <v>394</v>
      </c>
      <c r="E81" s="170"/>
      <c r="F81" s="170">
        <v>14200.9</v>
      </c>
      <c r="G81" s="170"/>
      <c r="H81" s="170"/>
      <c r="I81" s="170"/>
      <c r="J81" s="170"/>
      <c r="K81" s="170"/>
      <c r="L81" s="170">
        <v>14200.9</v>
      </c>
      <c r="M81" s="170"/>
      <c r="N81" s="170"/>
      <c r="O81" s="170"/>
      <c r="P81" s="170"/>
      <c r="Q81" s="170">
        <v>3521</v>
      </c>
      <c r="R81" s="170"/>
      <c r="S81" s="170"/>
      <c r="T81" s="170"/>
      <c r="U81" s="167"/>
      <c r="V81" s="167"/>
      <c r="W81" s="167"/>
      <c r="X81" s="179" t="s">
        <v>270</v>
      </c>
      <c r="Y81" s="167">
        <v>270</v>
      </c>
      <c r="Z81" s="167">
        <v>271</v>
      </c>
      <c r="AA81" s="167" t="s">
        <v>314</v>
      </c>
      <c r="AB81" s="167"/>
    </row>
    <row r="82" spans="1:28" s="12" customFormat="1" ht="213.6" customHeight="1" x14ac:dyDescent="0.3">
      <c r="A82" s="173" t="s">
        <v>220</v>
      </c>
      <c r="B82" s="177" t="s">
        <v>129</v>
      </c>
      <c r="C82" s="171" t="s">
        <v>138</v>
      </c>
      <c r="D82" s="209" t="s">
        <v>394</v>
      </c>
      <c r="E82" s="170"/>
      <c r="F82" s="170">
        <v>1000</v>
      </c>
      <c r="G82" s="170"/>
      <c r="H82" s="170"/>
      <c r="I82" s="170"/>
      <c r="J82" s="170"/>
      <c r="K82" s="170"/>
      <c r="L82" s="170">
        <v>1000</v>
      </c>
      <c r="M82" s="170"/>
      <c r="N82" s="170"/>
      <c r="O82" s="170"/>
      <c r="P82" s="170"/>
      <c r="Q82" s="170"/>
      <c r="R82" s="170"/>
      <c r="S82" s="170"/>
      <c r="T82" s="170"/>
      <c r="U82" s="167"/>
      <c r="V82" s="167"/>
      <c r="W82" s="167"/>
      <c r="X82" s="179" t="s">
        <v>298</v>
      </c>
      <c r="Y82" s="167">
        <v>270</v>
      </c>
      <c r="Z82" s="167">
        <v>0</v>
      </c>
      <c r="AA82" s="167" t="s">
        <v>310</v>
      </c>
      <c r="AB82" s="179" t="s">
        <v>297</v>
      </c>
    </row>
    <row r="83" spans="1:28" s="12" customFormat="1" ht="208.8" customHeight="1" x14ac:dyDescent="0.3">
      <c r="A83" s="173" t="s">
        <v>258</v>
      </c>
      <c r="B83" s="177" t="s">
        <v>130</v>
      </c>
      <c r="C83" s="171" t="s">
        <v>136</v>
      </c>
      <c r="D83" s="209" t="s">
        <v>394</v>
      </c>
      <c r="E83" s="170"/>
      <c r="F83" s="170">
        <v>4500</v>
      </c>
      <c r="G83" s="170"/>
      <c r="H83" s="170"/>
      <c r="I83" s="170"/>
      <c r="J83" s="170"/>
      <c r="K83" s="170"/>
      <c r="L83" s="170">
        <v>4500</v>
      </c>
      <c r="M83" s="170"/>
      <c r="N83" s="170"/>
      <c r="O83" s="170"/>
      <c r="P83" s="170"/>
      <c r="Q83" s="170">
        <v>0</v>
      </c>
      <c r="R83" s="170"/>
      <c r="S83" s="170"/>
      <c r="T83" s="170"/>
      <c r="U83" s="167"/>
      <c r="V83" s="167"/>
      <c r="W83" s="167"/>
      <c r="X83" s="179"/>
      <c r="Y83" s="179" t="s">
        <v>316</v>
      </c>
      <c r="Z83" s="167"/>
      <c r="AA83" s="167"/>
      <c r="AB83" s="167"/>
    </row>
    <row r="84" spans="1:28" s="12" customFormat="1" ht="124.8" customHeight="1" x14ac:dyDescent="0.3">
      <c r="A84" s="173" t="s">
        <v>259</v>
      </c>
      <c r="B84" s="177" t="s">
        <v>221</v>
      </c>
      <c r="C84" s="171"/>
      <c r="D84" s="209" t="s">
        <v>394</v>
      </c>
      <c r="E84" s="170"/>
      <c r="F84" s="178">
        <v>951.8</v>
      </c>
      <c r="G84" s="170"/>
      <c r="H84" s="170"/>
      <c r="I84" s="170">
        <v>1932.3</v>
      </c>
      <c r="J84" s="170"/>
      <c r="K84" s="170"/>
      <c r="L84" s="170">
        <f>951.8+1932.3</f>
        <v>2884.1</v>
      </c>
      <c r="M84" s="170"/>
      <c r="N84" s="170"/>
      <c r="O84" s="170"/>
      <c r="P84" s="170"/>
      <c r="Q84" s="170"/>
      <c r="R84" s="170"/>
      <c r="S84" s="170"/>
      <c r="T84" s="170"/>
      <c r="U84" s="167"/>
      <c r="V84" s="167"/>
      <c r="W84" s="167"/>
      <c r="X84" s="167" t="s">
        <v>270</v>
      </c>
      <c r="Y84" s="167">
        <v>1000</v>
      </c>
      <c r="Z84" s="167">
        <v>0</v>
      </c>
      <c r="AA84" s="167" t="s">
        <v>310</v>
      </c>
      <c r="AB84" s="179" t="s">
        <v>510</v>
      </c>
    </row>
    <row r="85" spans="1:28" s="12" customFormat="1" ht="205.2" customHeight="1" x14ac:dyDescent="0.3">
      <c r="A85" s="173" t="s">
        <v>222</v>
      </c>
      <c r="B85" s="177" t="s">
        <v>131</v>
      </c>
      <c r="C85" s="171" t="s">
        <v>139</v>
      </c>
      <c r="D85" s="209" t="s">
        <v>394</v>
      </c>
      <c r="E85" s="170"/>
      <c r="F85" s="178">
        <v>687.1</v>
      </c>
      <c r="G85" s="170"/>
      <c r="H85" s="170"/>
      <c r="I85" s="170"/>
      <c r="J85" s="170"/>
      <c r="K85" s="170"/>
      <c r="L85" s="170">
        <v>687.1</v>
      </c>
      <c r="M85" s="170"/>
      <c r="N85" s="170"/>
      <c r="O85" s="170"/>
      <c r="P85" s="170"/>
      <c r="Q85" s="170"/>
      <c r="R85" s="170"/>
      <c r="S85" s="170"/>
      <c r="T85" s="170"/>
      <c r="U85" s="167"/>
      <c r="V85" s="167"/>
      <c r="W85" s="167"/>
      <c r="X85" s="167" t="s">
        <v>270</v>
      </c>
      <c r="Y85" s="167">
        <v>60</v>
      </c>
      <c r="Z85" s="167">
        <v>0</v>
      </c>
      <c r="AA85" s="167" t="s">
        <v>310</v>
      </c>
      <c r="AB85" s="179" t="s">
        <v>510</v>
      </c>
    </row>
    <row r="86" spans="1:28" s="12" customFormat="1" ht="52.2" x14ac:dyDescent="0.3">
      <c r="A86" s="173" t="s">
        <v>320</v>
      </c>
      <c r="B86" s="168" t="s">
        <v>263</v>
      </c>
      <c r="C86" s="171"/>
      <c r="D86" s="209"/>
      <c r="E86" s="170">
        <f t="shared" ref="E86:R86" si="4">E87+E92+E105+E106+E107+E108+E109+E110+E114+E115+E116+E117+E118+E119+E120+E121+E122+E123+E124+E125+E126+E127+E128</f>
        <v>4068641.0000000005</v>
      </c>
      <c r="F86" s="170">
        <f t="shared" si="4"/>
        <v>11647907.699999997</v>
      </c>
      <c r="G86" s="170">
        <f t="shared" si="4"/>
        <v>0</v>
      </c>
      <c r="H86" s="170">
        <f t="shared" si="4"/>
        <v>0</v>
      </c>
      <c r="I86" s="170">
        <f t="shared" si="4"/>
        <v>0</v>
      </c>
      <c r="J86" s="170">
        <f t="shared" si="4"/>
        <v>4068641.0000000005</v>
      </c>
      <c r="K86" s="170">
        <f t="shared" si="4"/>
        <v>0</v>
      </c>
      <c r="L86" s="170">
        <f>L87+L92+L105+L106+L107+L108+L109+L110+L114+L115+L116+L117+L118+L119+L120+L121+L122+L123+L124+L125+L126+L127+L128</f>
        <v>12183267.699999999</v>
      </c>
      <c r="M86" s="170">
        <f>M87+M92+M105+M106+M107+M108+M109+M110+M114+M115+M116+M117+M118+M119+M120+M121+M122+M123+M124+M125+M126+M127+M128</f>
        <v>0</v>
      </c>
      <c r="N86" s="170">
        <f t="shared" si="4"/>
        <v>0</v>
      </c>
      <c r="O86" s="170">
        <f t="shared" si="4"/>
        <v>809714.20000000007</v>
      </c>
      <c r="P86" s="170">
        <f t="shared" si="4"/>
        <v>0</v>
      </c>
      <c r="Q86" s="170">
        <f>Q87+Q92+Q105+Q106+Q107+Q108+Q109+Q110+Q114+Q115+Q116+Q117+Q118+Q119+Q120+Q121+Q122+Q123+Q124+Q125+Q126+Q127+Q128</f>
        <v>2755099.8000000003</v>
      </c>
      <c r="R86" s="170">
        <f t="shared" si="4"/>
        <v>0</v>
      </c>
      <c r="S86" s="170">
        <f>S87+S92+S105+S106+S107+S108+S109+S110+S114+S115+S116+S117+S118+S119+S120+S121+S122+S123+S124+S125+S126+S127+S128</f>
        <v>0</v>
      </c>
      <c r="T86" s="170">
        <f>T87+T92+T105+T106+T107+T108+T109+T110+T114+T115+T116+T117+T118+T119+T120+T121+T122+T123+T124+T125+T126+T127+T128</f>
        <v>0</v>
      </c>
      <c r="U86" s="167"/>
      <c r="V86" s="167"/>
      <c r="W86" s="167"/>
      <c r="X86" s="167" t="s">
        <v>13</v>
      </c>
      <c r="Y86" s="167" t="s">
        <v>13</v>
      </c>
      <c r="Z86" s="167" t="s">
        <v>13</v>
      </c>
      <c r="AA86" s="167" t="s">
        <v>13</v>
      </c>
      <c r="AB86" s="167" t="s">
        <v>13</v>
      </c>
    </row>
    <row r="87" spans="1:28" s="12" customFormat="1" ht="196.2" customHeight="1" x14ac:dyDescent="0.3">
      <c r="A87" s="173" t="s">
        <v>198</v>
      </c>
      <c r="B87" s="177" t="s">
        <v>140</v>
      </c>
      <c r="C87" s="171"/>
      <c r="D87" s="209" t="s">
        <v>394</v>
      </c>
      <c r="E87" s="170"/>
      <c r="F87" s="170">
        <v>1753945.3</v>
      </c>
      <c r="G87" s="170"/>
      <c r="H87" s="170"/>
      <c r="I87" s="170"/>
      <c r="J87" s="170"/>
      <c r="K87" s="170"/>
      <c r="L87" s="170">
        <v>1756305.3000000003</v>
      </c>
      <c r="M87" s="170"/>
      <c r="N87" s="170"/>
      <c r="O87" s="170"/>
      <c r="P87" s="170"/>
      <c r="Q87" s="170">
        <v>327648.3</v>
      </c>
      <c r="R87" s="170"/>
      <c r="S87" s="170"/>
      <c r="T87" s="170"/>
      <c r="U87" s="167"/>
      <c r="V87" s="167"/>
      <c r="W87" s="167"/>
      <c r="X87" s="167" t="s">
        <v>13</v>
      </c>
      <c r="Y87" s="167" t="s">
        <v>13</v>
      </c>
      <c r="Z87" s="167" t="s">
        <v>13</v>
      </c>
      <c r="AA87" s="167" t="s">
        <v>13</v>
      </c>
      <c r="AB87" s="167" t="s">
        <v>13</v>
      </c>
    </row>
    <row r="88" spans="1:28" s="12" customFormat="1" ht="27" customHeight="1" x14ac:dyDescent="0.3">
      <c r="A88" s="242" t="s">
        <v>207</v>
      </c>
      <c r="B88" s="239" t="s">
        <v>117</v>
      </c>
      <c r="C88" s="171" t="s">
        <v>164</v>
      </c>
      <c r="D88" s="248" t="s">
        <v>394</v>
      </c>
      <c r="E88" s="215"/>
      <c r="F88" s="215">
        <v>1753945.3</v>
      </c>
      <c r="G88" s="215"/>
      <c r="H88" s="215"/>
      <c r="I88" s="215"/>
      <c r="J88" s="215"/>
      <c r="K88" s="215"/>
      <c r="L88" s="215">
        <v>1756305.3000000003</v>
      </c>
      <c r="M88" s="215"/>
      <c r="N88" s="215"/>
      <c r="O88" s="215"/>
      <c r="P88" s="215"/>
      <c r="Q88" s="215">
        <v>327648.3</v>
      </c>
      <c r="R88" s="215"/>
      <c r="S88" s="215"/>
      <c r="T88" s="215"/>
      <c r="U88" s="218"/>
      <c r="V88" s="218"/>
      <c r="W88" s="218"/>
      <c r="X88" s="218" t="s">
        <v>270</v>
      </c>
      <c r="Y88" s="218">
        <v>51516</v>
      </c>
      <c r="Z88" s="218">
        <f>3831+211+7813+1404+116</f>
        <v>13375</v>
      </c>
      <c r="AA88" s="218" t="s">
        <v>310</v>
      </c>
      <c r="AB88" s="225" t="s">
        <v>313</v>
      </c>
    </row>
    <row r="89" spans="1:28" s="12" customFormat="1" ht="30" customHeight="1" x14ac:dyDescent="0.3">
      <c r="A89" s="243"/>
      <c r="B89" s="240"/>
      <c r="C89" s="171" t="s">
        <v>165</v>
      </c>
      <c r="D89" s="249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9"/>
      <c r="V89" s="219"/>
      <c r="W89" s="219"/>
      <c r="X89" s="219"/>
      <c r="Y89" s="219"/>
      <c r="Z89" s="219"/>
      <c r="AA89" s="219"/>
      <c r="AB89" s="235"/>
    </row>
    <row r="90" spans="1:28" s="12" customFormat="1" ht="28.8" customHeight="1" x14ac:dyDescent="0.3">
      <c r="A90" s="243"/>
      <c r="B90" s="240"/>
      <c r="C90" s="171" t="s">
        <v>166</v>
      </c>
      <c r="D90" s="249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9"/>
      <c r="V90" s="219"/>
      <c r="W90" s="219"/>
      <c r="X90" s="219"/>
      <c r="Y90" s="219"/>
      <c r="Z90" s="219"/>
      <c r="AA90" s="219"/>
      <c r="AB90" s="235"/>
    </row>
    <row r="91" spans="1:28" s="12" customFormat="1" ht="28.2" customHeight="1" x14ac:dyDescent="0.3">
      <c r="A91" s="244"/>
      <c r="B91" s="241"/>
      <c r="C91" s="171" t="s">
        <v>167</v>
      </c>
      <c r="D91" s="250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20"/>
      <c r="V91" s="220"/>
      <c r="W91" s="220"/>
      <c r="X91" s="220"/>
      <c r="Y91" s="220"/>
      <c r="Z91" s="220"/>
      <c r="AA91" s="220"/>
      <c r="AB91" s="226"/>
    </row>
    <row r="92" spans="1:28" s="12" customFormat="1" ht="287.39999999999998" customHeight="1" x14ac:dyDescent="0.3">
      <c r="A92" s="173" t="s">
        <v>200</v>
      </c>
      <c r="B92" s="177" t="s">
        <v>141</v>
      </c>
      <c r="C92" s="171"/>
      <c r="D92" s="209" t="s">
        <v>394</v>
      </c>
      <c r="E92" s="170"/>
      <c r="F92" s="178">
        <v>272013.3</v>
      </c>
      <c r="G92" s="178"/>
      <c r="H92" s="170"/>
      <c r="I92" s="170"/>
      <c r="J92" s="170"/>
      <c r="K92" s="170"/>
      <c r="L92" s="170">
        <v>305013.3</v>
      </c>
      <c r="M92" s="170"/>
      <c r="N92" s="170"/>
      <c r="O92" s="170"/>
      <c r="P92" s="170"/>
      <c r="Q92" s="170">
        <v>52708</v>
      </c>
      <c r="R92" s="170"/>
      <c r="S92" s="170"/>
      <c r="T92" s="170"/>
      <c r="U92" s="167"/>
      <c r="V92" s="167"/>
      <c r="W92" s="167"/>
      <c r="X92" s="167" t="s">
        <v>13</v>
      </c>
      <c r="Y92" s="167" t="s">
        <v>13</v>
      </c>
      <c r="Z92" s="167" t="s">
        <v>13</v>
      </c>
      <c r="AA92" s="167" t="s">
        <v>13</v>
      </c>
      <c r="AB92" s="167" t="s">
        <v>13</v>
      </c>
    </row>
    <row r="93" spans="1:28" s="12" customFormat="1" ht="30.6" customHeight="1" x14ac:dyDescent="0.3">
      <c r="A93" s="242" t="s">
        <v>223</v>
      </c>
      <c r="B93" s="239" t="s">
        <v>117</v>
      </c>
      <c r="C93" s="171" t="s">
        <v>168</v>
      </c>
      <c r="D93" s="248" t="s">
        <v>394</v>
      </c>
      <c r="E93" s="182"/>
      <c r="F93" s="223">
        <v>91113.8</v>
      </c>
      <c r="G93" s="183"/>
      <c r="H93" s="182"/>
      <c r="I93" s="182"/>
      <c r="J93" s="182"/>
      <c r="K93" s="182"/>
      <c r="L93" s="215">
        <f>77372.3+868+12073.5+800</f>
        <v>91113.8</v>
      </c>
      <c r="M93" s="182"/>
      <c r="N93" s="182"/>
      <c r="O93" s="182"/>
      <c r="P93" s="182"/>
      <c r="Q93" s="215">
        <f>13349.9+182+11185.9+773.6</f>
        <v>25491.399999999998</v>
      </c>
      <c r="R93" s="182"/>
      <c r="S93" s="182"/>
      <c r="T93" s="182"/>
      <c r="U93" s="184"/>
      <c r="V93" s="184"/>
      <c r="W93" s="185"/>
      <c r="X93" s="218" t="s">
        <v>270</v>
      </c>
      <c r="Y93" s="218">
        <v>81</v>
      </c>
      <c r="Z93" s="218">
        <v>63</v>
      </c>
      <c r="AA93" s="218" t="s">
        <v>310</v>
      </c>
      <c r="AB93" s="225" t="s">
        <v>313</v>
      </c>
    </row>
    <row r="94" spans="1:28" s="12" customFormat="1" ht="33" customHeight="1" x14ac:dyDescent="0.3">
      <c r="A94" s="243"/>
      <c r="B94" s="240"/>
      <c r="C94" s="171" t="s">
        <v>169</v>
      </c>
      <c r="D94" s="249"/>
      <c r="E94" s="186"/>
      <c r="F94" s="216"/>
      <c r="G94" s="187"/>
      <c r="H94" s="186"/>
      <c r="I94" s="186"/>
      <c r="J94" s="186"/>
      <c r="K94" s="186"/>
      <c r="L94" s="216"/>
      <c r="M94" s="186"/>
      <c r="N94" s="186"/>
      <c r="O94" s="186"/>
      <c r="P94" s="186"/>
      <c r="Q94" s="216"/>
      <c r="R94" s="186"/>
      <c r="S94" s="186"/>
      <c r="T94" s="186"/>
      <c r="U94" s="188"/>
      <c r="V94" s="188"/>
      <c r="W94" s="189"/>
      <c r="X94" s="219"/>
      <c r="Y94" s="219"/>
      <c r="Z94" s="219"/>
      <c r="AA94" s="219"/>
      <c r="AB94" s="235"/>
    </row>
    <row r="95" spans="1:28" s="12" customFormat="1" ht="30.6" customHeight="1" x14ac:dyDescent="0.3">
      <c r="A95" s="243"/>
      <c r="B95" s="240"/>
      <c r="C95" s="171" t="s">
        <v>170</v>
      </c>
      <c r="D95" s="249"/>
      <c r="E95" s="186"/>
      <c r="F95" s="216"/>
      <c r="G95" s="187"/>
      <c r="H95" s="186"/>
      <c r="I95" s="186"/>
      <c r="J95" s="186"/>
      <c r="K95" s="186"/>
      <c r="L95" s="216"/>
      <c r="M95" s="186"/>
      <c r="N95" s="186"/>
      <c r="O95" s="186"/>
      <c r="P95" s="186"/>
      <c r="Q95" s="216"/>
      <c r="R95" s="186"/>
      <c r="S95" s="186"/>
      <c r="T95" s="186"/>
      <c r="U95" s="188"/>
      <c r="V95" s="188"/>
      <c r="W95" s="189"/>
      <c r="X95" s="219"/>
      <c r="Y95" s="219"/>
      <c r="Z95" s="219"/>
      <c r="AA95" s="219"/>
      <c r="AB95" s="235"/>
    </row>
    <row r="96" spans="1:28" s="12" customFormat="1" ht="36" customHeight="1" x14ac:dyDescent="0.3">
      <c r="A96" s="244"/>
      <c r="B96" s="241"/>
      <c r="C96" s="171" t="s">
        <v>171</v>
      </c>
      <c r="D96" s="250"/>
      <c r="E96" s="190"/>
      <c r="F96" s="217"/>
      <c r="G96" s="191"/>
      <c r="H96" s="190"/>
      <c r="I96" s="190"/>
      <c r="J96" s="190"/>
      <c r="K96" s="190"/>
      <c r="L96" s="217"/>
      <c r="M96" s="190"/>
      <c r="N96" s="190"/>
      <c r="O96" s="190"/>
      <c r="P96" s="190"/>
      <c r="Q96" s="217"/>
      <c r="R96" s="190"/>
      <c r="S96" s="190"/>
      <c r="T96" s="190"/>
      <c r="U96" s="192"/>
      <c r="V96" s="192"/>
      <c r="W96" s="193"/>
      <c r="X96" s="220"/>
      <c r="Y96" s="220"/>
      <c r="Z96" s="220"/>
      <c r="AA96" s="220"/>
      <c r="AB96" s="226"/>
    </row>
    <row r="97" spans="1:28" s="12" customFormat="1" ht="84" customHeight="1" x14ac:dyDescent="0.3">
      <c r="A97" s="173" t="s">
        <v>224</v>
      </c>
      <c r="B97" s="177" t="s">
        <v>142</v>
      </c>
      <c r="C97" s="171"/>
      <c r="D97" s="209" t="s">
        <v>394</v>
      </c>
      <c r="E97" s="170"/>
      <c r="F97" s="178">
        <v>180899.5</v>
      </c>
      <c r="G97" s="178"/>
      <c r="H97" s="170"/>
      <c r="I97" s="170"/>
      <c r="J97" s="170"/>
      <c r="K97" s="170"/>
      <c r="L97" s="170">
        <v>213899.49999999997</v>
      </c>
      <c r="M97" s="170"/>
      <c r="N97" s="170"/>
      <c r="O97" s="170"/>
      <c r="P97" s="170"/>
      <c r="Q97" s="170">
        <v>27216.600000000002</v>
      </c>
      <c r="R97" s="170"/>
      <c r="S97" s="170"/>
      <c r="T97" s="170"/>
      <c r="U97" s="167"/>
      <c r="V97" s="167"/>
      <c r="W97" s="167"/>
      <c r="X97" s="167" t="s">
        <v>270</v>
      </c>
      <c r="Y97" s="167">
        <v>732</v>
      </c>
      <c r="Z97" s="167">
        <v>635</v>
      </c>
      <c r="AA97" s="167" t="s">
        <v>310</v>
      </c>
      <c r="AB97" s="179" t="s">
        <v>313</v>
      </c>
    </row>
    <row r="98" spans="1:28" s="31" customFormat="1" ht="56.4" customHeight="1" x14ac:dyDescent="0.3">
      <c r="A98" s="242" t="s">
        <v>225</v>
      </c>
      <c r="B98" s="239" t="s">
        <v>119</v>
      </c>
      <c r="C98" s="171" t="s">
        <v>168</v>
      </c>
      <c r="D98" s="221" t="s">
        <v>394</v>
      </c>
      <c r="E98" s="215"/>
      <c r="F98" s="223">
        <v>173693.3</v>
      </c>
      <c r="G98" s="223"/>
      <c r="H98" s="215"/>
      <c r="I98" s="215"/>
      <c r="J98" s="215"/>
      <c r="K98" s="215"/>
      <c r="L98" s="215">
        <v>186693.3</v>
      </c>
      <c r="M98" s="215"/>
      <c r="N98" s="215"/>
      <c r="O98" s="215"/>
      <c r="P98" s="215"/>
      <c r="Q98" s="215">
        <v>25999.4</v>
      </c>
      <c r="R98" s="215"/>
      <c r="S98" s="215"/>
      <c r="T98" s="215"/>
      <c r="U98" s="218"/>
      <c r="V98" s="218"/>
      <c r="W98" s="218"/>
      <c r="X98" s="218" t="s">
        <v>270</v>
      </c>
      <c r="Y98" s="218">
        <f>660+840+1617</f>
        <v>3117</v>
      </c>
      <c r="Z98" s="218">
        <v>180</v>
      </c>
      <c r="AA98" s="218" t="s">
        <v>13</v>
      </c>
      <c r="AB98" s="218" t="s">
        <v>13</v>
      </c>
    </row>
    <row r="99" spans="1:28" s="31" customFormat="1" ht="42" customHeight="1" x14ac:dyDescent="0.3">
      <c r="A99" s="243"/>
      <c r="B99" s="240"/>
      <c r="C99" s="171" t="s">
        <v>170</v>
      </c>
      <c r="D99" s="229"/>
      <c r="E99" s="216"/>
      <c r="F99" s="230"/>
      <c r="G99" s="230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9"/>
      <c r="V99" s="219"/>
      <c r="W99" s="219"/>
      <c r="X99" s="219"/>
      <c r="Y99" s="219"/>
      <c r="Z99" s="219"/>
      <c r="AA99" s="219"/>
      <c r="AB99" s="219"/>
    </row>
    <row r="100" spans="1:28" s="31" customFormat="1" ht="48" customHeight="1" x14ac:dyDescent="0.3">
      <c r="A100" s="244"/>
      <c r="B100" s="241"/>
      <c r="C100" s="171" t="s">
        <v>172</v>
      </c>
      <c r="D100" s="222"/>
      <c r="E100" s="217"/>
      <c r="F100" s="224"/>
      <c r="G100" s="224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20"/>
      <c r="V100" s="220"/>
      <c r="W100" s="220"/>
      <c r="X100" s="220"/>
      <c r="Y100" s="220"/>
      <c r="Z100" s="220"/>
      <c r="AA100" s="220"/>
      <c r="AB100" s="220"/>
    </row>
    <row r="101" spans="1:28" s="31" customFormat="1" ht="114" customHeight="1" x14ac:dyDescent="0.3">
      <c r="A101" s="242" t="s">
        <v>226</v>
      </c>
      <c r="B101" s="239" t="s">
        <v>120</v>
      </c>
      <c r="C101" s="171" t="s">
        <v>173</v>
      </c>
      <c r="D101" s="209" t="s">
        <v>394</v>
      </c>
      <c r="E101" s="170"/>
      <c r="F101" s="223">
        <v>6000</v>
      </c>
      <c r="G101" s="178"/>
      <c r="H101" s="170"/>
      <c r="I101" s="170"/>
      <c r="J101" s="170"/>
      <c r="K101" s="170"/>
      <c r="L101" s="170">
        <v>3000</v>
      </c>
      <c r="M101" s="170"/>
      <c r="N101" s="170"/>
      <c r="O101" s="170"/>
      <c r="P101" s="170"/>
      <c r="Q101" s="170"/>
      <c r="R101" s="170"/>
      <c r="S101" s="170"/>
      <c r="T101" s="170"/>
      <c r="U101" s="167"/>
      <c r="V101" s="167"/>
      <c r="W101" s="218"/>
      <c r="X101" s="225" t="s">
        <v>305</v>
      </c>
      <c r="Y101" s="218">
        <v>3</v>
      </c>
      <c r="Z101" s="218">
        <v>0</v>
      </c>
      <c r="AA101" s="218" t="s">
        <v>310</v>
      </c>
      <c r="AB101" s="225" t="s">
        <v>306</v>
      </c>
    </row>
    <row r="102" spans="1:28" s="31" customFormat="1" ht="6" hidden="1" customHeight="1" x14ac:dyDescent="0.3">
      <c r="A102" s="244"/>
      <c r="B102" s="241"/>
      <c r="C102" s="171" t="s">
        <v>174</v>
      </c>
      <c r="D102" s="209" t="s">
        <v>394</v>
      </c>
      <c r="E102" s="170"/>
      <c r="F102" s="224"/>
      <c r="G102" s="178"/>
      <c r="H102" s="170"/>
      <c r="I102" s="170"/>
      <c r="J102" s="170"/>
      <c r="K102" s="170"/>
      <c r="L102" s="170">
        <v>23000</v>
      </c>
      <c r="M102" s="170"/>
      <c r="N102" s="170"/>
      <c r="O102" s="170"/>
      <c r="P102" s="170"/>
      <c r="Q102" s="170">
        <v>1000</v>
      </c>
      <c r="R102" s="170"/>
      <c r="S102" s="170"/>
      <c r="T102" s="170"/>
      <c r="U102" s="167"/>
      <c r="V102" s="167"/>
      <c r="W102" s="220"/>
      <c r="X102" s="226"/>
      <c r="Y102" s="220"/>
      <c r="Z102" s="220"/>
      <c r="AA102" s="220"/>
      <c r="AB102" s="226"/>
    </row>
    <row r="103" spans="1:28" s="12" customFormat="1" ht="178.8" customHeight="1" x14ac:dyDescent="0.3">
      <c r="A103" s="242" t="s">
        <v>227</v>
      </c>
      <c r="B103" s="239" t="s">
        <v>143</v>
      </c>
      <c r="C103" s="171" t="s">
        <v>169</v>
      </c>
      <c r="D103" s="221" t="s">
        <v>394</v>
      </c>
      <c r="E103" s="215"/>
      <c r="F103" s="223">
        <v>1206.2</v>
      </c>
      <c r="G103" s="223"/>
      <c r="H103" s="215"/>
      <c r="I103" s="215"/>
      <c r="J103" s="215"/>
      <c r="K103" s="215"/>
      <c r="L103" s="215">
        <v>1206.2</v>
      </c>
      <c r="M103" s="215"/>
      <c r="N103" s="215"/>
      <c r="O103" s="215"/>
      <c r="P103" s="215"/>
      <c r="Q103" s="215">
        <v>217.2</v>
      </c>
      <c r="R103" s="215"/>
      <c r="S103" s="215"/>
      <c r="T103" s="215"/>
      <c r="U103" s="218"/>
      <c r="V103" s="218"/>
      <c r="W103" s="218"/>
      <c r="X103" s="218" t="s">
        <v>307</v>
      </c>
      <c r="Y103" s="218">
        <v>163</v>
      </c>
      <c r="Z103" s="218">
        <v>163</v>
      </c>
      <c r="AA103" s="218" t="s">
        <v>314</v>
      </c>
      <c r="AB103" s="218"/>
    </row>
    <row r="104" spans="1:28" s="12" customFormat="1" ht="165.6" customHeight="1" x14ac:dyDescent="0.3">
      <c r="A104" s="244"/>
      <c r="B104" s="241"/>
      <c r="C104" s="171" t="s">
        <v>175</v>
      </c>
      <c r="D104" s="222"/>
      <c r="E104" s="217"/>
      <c r="F104" s="224"/>
      <c r="G104" s="224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20"/>
      <c r="V104" s="220"/>
      <c r="W104" s="220"/>
      <c r="X104" s="220"/>
      <c r="Y104" s="220"/>
      <c r="Z104" s="220"/>
      <c r="AA104" s="220"/>
      <c r="AB104" s="220"/>
    </row>
    <row r="105" spans="1:28" s="12" customFormat="1" ht="409.2" customHeight="1" x14ac:dyDescent="0.3">
      <c r="A105" s="173" t="s">
        <v>201</v>
      </c>
      <c r="B105" s="177" t="s">
        <v>144</v>
      </c>
      <c r="C105" s="171" t="s">
        <v>176</v>
      </c>
      <c r="D105" s="209" t="s">
        <v>394</v>
      </c>
      <c r="E105" s="170"/>
      <c r="F105" s="170">
        <v>342517.4</v>
      </c>
      <c r="G105" s="170"/>
      <c r="H105" s="170"/>
      <c r="I105" s="170"/>
      <c r="J105" s="170"/>
      <c r="K105" s="170"/>
      <c r="L105" s="170">
        <v>342517.4</v>
      </c>
      <c r="M105" s="170"/>
      <c r="N105" s="170"/>
      <c r="O105" s="170"/>
      <c r="P105" s="170"/>
      <c r="Q105" s="170">
        <v>61653.1</v>
      </c>
      <c r="R105" s="170"/>
      <c r="S105" s="170"/>
      <c r="T105" s="170"/>
      <c r="U105" s="167"/>
      <c r="V105" s="167"/>
      <c r="W105" s="167"/>
      <c r="X105" s="167" t="s">
        <v>307</v>
      </c>
      <c r="Y105" s="167">
        <v>6300</v>
      </c>
      <c r="Z105" s="167">
        <v>6055</v>
      </c>
      <c r="AA105" s="167" t="s">
        <v>310</v>
      </c>
      <c r="AB105" s="167" t="s">
        <v>271</v>
      </c>
    </row>
    <row r="106" spans="1:28" s="12" customFormat="1" ht="133.80000000000001" customHeight="1" x14ac:dyDescent="0.3">
      <c r="A106" s="173" t="s">
        <v>202</v>
      </c>
      <c r="B106" s="177" t="s">
        <v>145</v>
      </c>
      <c r="C106" s="171" t="s">
        <v>177</v>
      </c>
      <c r="D106" s="209" t="s">
        <v>394</v>
      </c>
      <c r="E106" s="170"/>
      <c r="F106" s="178">
        <v>1140560.5</v>
      </c>
      <c r="G106" s="178"/>
      <c r="H106" s="170"/>
      <c r="I106" s="170"/>
      <c r="J106" s="170"/>
      <c r="K106" s="170"/>
      <c r="L106" s="170">
        <v>1140560.5</v>
      </c>
      <c r="M106" s="170"/>
      <c r="N106" s="170"/>
      <c r="O106" s="170"/>
      <c r="P106" s="170"/>
      <c r="Q106" s="170">
        <v>236444</v>
      </c>
      <c r="R106" s="170"/>
      <c r="S106" s="170"/>
      <c r="T106" s="170"/>
      <c r="U106" s="167"/>
      <c r="V106" s="167"/>
      <c r="W106" s="167"/>
      <c r="X106" s="167" t="s">
        <v>270</v>
      </c>
      <c r="Y106" s="179" t="s">
        <v>511</v>
      </c>
      <c r="Z106" s="167">
        <v>326217</v>
      </c>
      <c r="AA106" s="167" t="s">
        <v>310</v>
      </c>
      <c r="AB106" s="167" t="s">
        <v>271</v>
      </c>
    </row>
    <row r="107" spans="1:28" s="12" customFormat="1" ht="289.2" customHeight="1" x14ac:dyDescent="0.3">
      <c r="A107" s="173" t="s">
        <v>203</v>
      </c>
      <c r="B107" s="177" t="s">
        <v>146</v>
      </c>
      <c r="C107" s="171" t="s">
        <v>178</v>
      </c>
      <c r="D107" s="209" t="s">
        <v>394</v>
      </c>
      <c r="E107" s="170"/>
      <c r="F107" s="170">
        <v>324779.8</v>
      </c>
      <c r="G107" s="170"/>
      <c r="H107" s="170"/>
      <c r="I107" s="170"/>
      <c r="J107" s="170"/>
      <c r="K107" s="170"/>
      <c r="L107" s="170">
        <v>324779.8</v>
      </c>
      <c r="M107" s="170"/>
      <c r="N107" s="170"/>
      <c r="O107" s="170"/>
      <c r="P107" s="170"/>
      <c r="Q107" s="170">
        <v>42365.4</v>
      </c>
      <c r="R107" s="170"/>
      <c r="S107" s="170"/>
      <c r="T107" s="170"/>
      <c r="U107" s="167"/>
      <c r="V107" s="167"/>
      <c r="W107" s="167"/>
      <c r="X107" s="167" t="s">
        <v>270</v>
      </c>
      <c r="Y107" s="167">
        <v>139051</v>
      </c>
      <c r="Z107" s="167">
        <v>88867</v>
      </c>
      <c r="AA107" s="167" t="s">
        <v>310</v>
      </c>
      <c r="AB107" s="167" t="s">
        <v>271</v>
      </c>
    </row>
    <row r="108" spans="1:28" s="12" customFormat="1" ht="205.2" customHeight="1" x14ac:dyDescent="0.3">
      <c r="A108" s="173" t="s">
        <v>204</v>
      </c>
      <c r="B108" s="177" t="s">
        <v>147</v>
      </c>
      <c r="C108" s="194" t="s">
        <v>308</v>
      </c>
      <c r="D108" s="209" t="s">
        <v>394</v>
      </c>
      <c r="E108" s="170"/>
      <c r="F108" s="178">
        <v>2817488.4</v>
      </c>
      <c r="G108" s="178"/>
      <c r="H108" s="170"/>
      <c r="I108" s="170"/>
      <c r="J108" s="170"/>
      <c r="K108" s="170"/>
      <c r="L108" s="178">
        <v>3317488.4</v>
      </c>
      <c r="M108" s="170"/>
      <c r="N108" s="170"/>
      <c r="O108" s="170"/>
      <c r="P108" s="170"/>
      <c r="Q108" s="170">
        <v>860724.3</v>
      </c>
      <c r="R108" s="170"/>
      <c r="S108" s="170"/>
      <c r="T108" s="170"/>
      <c r="U108" s="167"/>
      <c r="V108" s="167"/>
      <c r="W108" s="167"/>
      <c r="X108" s="179" t="s">
        <v>270</v>
      </c>
      <c r="Y108" s="167">
        <v>27054</v>
      </c>
      <c r="Z108" s="167">
        <v>28474</v>
      </c>
      <c r="AA108" s="167" t="s">
        <v>310</v>
      </c>
      <c r="AB108" s="167" t="s">
        <v>271</v>
      </c>
    </row>
    <row r="109" spans="1:28" s="12" customFormat="1" ht="202.2" customHeight="1" x14ac:dyDescent="0.3">
      <c r="A109" s="173" t="s">
        <v>228</v>
      </c>
      <c r="B109" s="177" t="s">
        <v>148</v>
      </c>
      <c r="C109" s="171" t="s">
        <v>179</v>
      </c>
      <c r="D109" s="209" t="s">
        <v>394</v>
      </c>
      <c r="E109" s="170">
        <v>38533.300000000003</v>
      </c>
      <c r="F109" s="170"/>
      <c r="G109" s="170"/>
      <c r="H109" s="170"/>
      <c r="I109" s="170"/>
      <c r="J109" s="170">
        <v>38533.300000000003</v>
      </c>
      <c r="K109" s="170"/>
      <c r="L109" s="170"/>
      <c r="M109" s="170"/>
      <c r="N109" s="170"/>
      <c r="O109" s="170">
        <v>6294.8</v>
      </c>
      <c r="P109" s="170"/>
      <c r="Q109" s="170"/>
      <c r="R109" s="170"/>
      <c r="S109" s="170"/>
      <c r="T109" s="170"/>
      <c r="U109" s="167"/>
      <c r="V109" s="167"/>
      <c r="W109" s="167"/>
      <c r="X109" s="179" t="s">
        <v>270</v>
      </c>
      <c r="Y109" s="167">
        <v>372</v>
      </c>
      <c r="Z109" s="167">
        <v>175</v>
      </c>
      <c r="AA109" s="167" t="s">
        <v>310</v>
      </c>
      <c r="AB109" s="167" t="s">
        <v>271</v>
      </c>
    </row>
    <row r="110" spans="1:28" s="12" customFormat="1" ht="76.2" customHeight="1" x14ac:dyDescent="0.3">
      <c r="A110" s="242" t="s">
        <v>229</v>
      </c>
      <c r="B110" s="239" t="s">
        <v>149</v>
      </c>
      <c r="C110" s="171" t="s">
        <v>180</v>
      </c>
      <c r="D110" s="245" t="s">
        <v>394</v>
      </c>
      <c r="E110" s="223">
        <v>3260173.1</v>
      </c>
      <c r="F110" s="215"/>
      <c r="G110" s="215"/>
      <c r="H110" s="215"/>
      <c r="I110" s="215"/>
      <c r="J110" s="223">
        <v>3260173.1</v>
      </c>
      <c r="K110" s="215"/>
      <c r="L110" s="215"/>
      <c r="M110" s="215"/>
      <c r="N110" s="215"/>
      <c r="O110" s="215">
        <f>704256.3+77630.6</f>
        <v>781886.9</v>
      </c>
      <c r="P110" s="215"/>
      <c r="Q110" s="215"/>
      <c r="R110" s="215"/>
      <c r="S110" s="215"/>
      <c r="T110" s="215"/>
      <c r="U110" s="218"/>
      <c r="V110" s="218"/>
      <c r="W110" s="218"/>
      <c r="X110" s="225" t="s">
        <v>270</v>
      </c>
      <c r="Y110" s="218">
        <v>78421</v>
      </c>
      <c r="Z110" s="218">
        <v>51830</v>
      </c>
      <c r="AA110" s="218" t="s">
        <v>310</v>
      </c>
      <c r="AB110" s="218" t="s">
        <v>271</v>
      </c>
    </row>
    <row r="111" spans="1:28" s="12" customFormat="1" ht="67.2" customHeight="1" x14ac:dyDescent="0.3">
      <c r="A111" s="243"/>
      <c r="B111" s="240"/>
      <c r="C111" s="171" t="s">
        <v>181</v>
      </c>
      <c r="D111" s="246"/>
      <c r="E111" s="230"/>
      <c r="F111" s="216"/>
      <c r="G111" s="216"/>
      <c r="H111" s="216"/>
      <c r="I111" s="216"/>
      <c r="J111" s="230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9"/>
      <c r="V111" s="219"/>
      <c r="W111" s="219"/>
      <c r="X111" s="235"/>
      <c r="Y111" s="219"/>
      <c r="Z111" s="219"/>
      <c r="AA111" s="219"/>
      <c r="AB111" s="219"/>
    </row>
    <row r="112" spans="1:28" s="12" customFormat="1" ht="89.4" customHeight="1" x14ac:dyDescent="0.3">
      <c r="A112" s="243"/>
      <c r="B112" s="240"/>
      <c r="C112" s="171" t="s">
        <v>182</v>
      </c>
      <c r="D112" s="246"/>
      <c r="E112" s="230"/>
      <c r="F112" s="216"/>
      <c r="G112" s="216"/>
      <c r="H112" s="216"/>
      <c r="I112" s="216"/>
      <c r="J112" s="230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9"/>
      <c r="V112" s="219"/>
      <c r="W112" s="219"/>
      <c r="X112" s="235"/>
      <c r="Y112" s="219"/>
      <c r="Z112" s="219"/>
      <c r="AA112" s="219"/>
      <c r="AB112" s="219"/>
    </row>
    <row r="113" spans="1:28" s="12" customFormat="1" ht="143.4" customHeight="1" x14ac:dyDescent="0.3">
      <c r="A113" s="244"/>
      <c r="B113" s="241"/>
      <c r="C113" s="171" t="s">
        <v>183</v>
      </c>
      <c r="D113" s="247"/>
      <c r="E113" s="224"/>
      <c r="F113" s="217"/>
      <c r="G113" s="217"/>
      <c r="H113" s="217"/>
      <c r="I113" s="217"/>
      <c r="J113" s="224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20"/>
      <c r="V113" s="220"/>
      <c r="W113" s="220"/>
      <c r="X113" s="226"/>
      <c r="Y113" s="220"/>
      <c r="Z113" s="220"/>
      <c r="AA113" s="220"/>
      <c r="AB113" s="220"/>
    </row>
    <row r="114" spans="1:28" s="13" customFormat="1" ht="119.4" customHeight="1" x14ac:dyDescent="0.3">
      <c r="A114" s="173" t="s">
        <v>230</v>
      </c>
      <c r="B114" s="177" t="s">
        <v>150</v>
      </c>
      <c r="C114" s="171" t="s">
        <v>302</v>
      </c>
      <c r="D114" s="210" t="s">
        <v>394</v>
      </c>
      <c r="E114" s="170">
        <v>736979.8</v>
      </c>
      <c r="F114" s="170"/>
      <c r="G114" s="170"/>
      <c r="H114" s="170"/>
      <c r="I114" s="170"/>
      <c r="J114" s="170">
        <v>736979.8</v>
      </c>
      <c r="K114" s="170"/>
      <c r="L114" s="170"/>
      <c r="M114" s="170"/>
      <c r="N114" s="170"/>
      <c r="O114" s="170">
        <v>15274.3</v>
      </c>
      <c r="P114" s="170"/>
      <c r="Q114" s="170"/>
      <c r="R114" s="170"/>
      <c r="S114" s="170"/>
      <c r="T114" s="170"/>
      <c r="U114" s="167"/>
      <c r="V114" s="167"/>
      <c r="W114" s="167"/>
      <c r="X114" s="179" t="s">
        <v>270</v>
      </c>
      <c r="Y114" s="167">
        <v>20907</v>
      </c>
      <c r="Z114" s="167">
        <v>894</v>
      </c>
      <c r="AA114" s="167" t="s">
        <v>310</v>
      </c>
      <c r="AB114" s="167" t="s">
        <v>271</v>
      </c>
    </row>
    <row r="115" spans="1:28" s="12" customFormat="1" ht="129" customHeight="1" x14ac:dyDescent="0.3">
      <c r="A115" s="173" t="s">
        <v>214</v>
      </c>
      <c r="B115" s="177" t="s">
        <v>151</v>
      </c>
      <c r="C115" s="171" t="s">
        <v>184</v>
      </c>
      <c r="D115" s="210" t="s">
        <v>394</v>
      </c>
      <c r="E115" s="178"/>
      <c r="F115" s="178">
        <v>487.5</v>
      </c>
      <c r="G115" s="170"/>
      <c r="H115" s="170"/>
      <c r="I115" s="170"/>
      <c r="J115" s="170"/>
      <c r="K115" s="170"/>
      <c r="L115" s="170">
        <v>487.5</v>
      </c>
      <c r="M115" s="170"/>
      <c r="N115" s="170"/>
      <c r="O115" s="170"/>
      <c r="P115" s="170"/>
      <c r="Q115" s="170">
        <v>0</v>
      </c>
      <c r="R115" s="170"/>
      <c r="S115" s="170"/>
      <c r="T115" s="170"/>
      <c r="U115" s="167"/>
      <c r="V115" s="167"/>
      <c r="W115" s="167"/>
      <c r="X115" s="167" t="s">
        <v>309</v>
      </c>
      <c r="Y115" s="167">
        <v>15</v>
      </c>
      <c r="Z115" s="167">
        <v>0</v>
      </c>
      <c r="AA115" s="167" t="s">
        <v>310</v>
      </c>
      <c r="AB115" s="179" t="s">
        <v>311</v>
      </c>
    </row>
    <row r="116" spans="1:28" s="12" customFormat="1" ht="147.6" customHeight="1" x14ac:dyDescent="0.3">
      <c r="A116" s="173" t="s">
        <v>215</v>
      </c>
      <c r="B116" s="177" t="s">
        <v>152</v>
      </c>
      <c r="C116" s="171" t="s">
        <v>185</v>
      </c>
      <c r="D116" s="210" t="s">
        <v>394</v>
      </c>
      <c r="E116" s="170"/>
      <c r="F116" s="170">
        <v>89624.5</v>
      </c>
      <c r="G116" s="170"/>
      <c r="H116" s="170"/>
      <c r="I116" s="170"/>
      <c r="J116" s="170"/>
      <c r="K116" s="170"/>
      <c r="L116" s="170">
        <v>89624.5</v>
      </c>
      <c r="M116" s="170"/>
      <c r="N116" s="170"/>
      <c r="O116" s="170"/>
      <c r="P116" s="170"/>
      <c r="Q116" s="170">
        <v>14200</v>
      </c>
      <c r="R116" s="170"/>
      <c r="S116" s="170"/>
      <c r="T116" s="170"/>
      <c r="U116" s="167"/>
      <c r="V116" s="167"/>
      <c r="W116" s="167"/>
      <c r="X116" s="167" t="s">
        <v>270</v>
      </c>
      <c r="Y116" s="167">
        <v>291</v>
      </c>
      <c r="Z116" s="167" t="s">
        <v>508</v>
      </c>
      <c r="AA116" s="167"/>
      <c r="AB116" s="167"/>
    </row>
    <row r="117" spans="1:28" s="12" customFormat="1" ht="136.80000000000001" customHeight="1" x14ac:dyDescent="0.3">
      <c r="A117" s="173" t="s">
        <v>231</v>
      </c>
      <c r="B117" s="177" t="s">
        <v>153</v>
      </c>
      <c r="C117" s="171" t="s">
        <v>186</v>
      </c>
      <c r="D117" s="210" t="s">
        <v>394</v>
      </c>
      <c r="E117" s="170"/>
      <c r="F117" s="178">
        <v>348376.8</v>
      </c>
      <c r="G117" s="178"/>
      <c r="H117" s="170"/>
      <c r="I117" s="170"/>
      <c r="J117" s="170"/>
      <c r="K117" s="170"/>
      <c r="L117" s="170">
        <v>348376.8</v>
      </c>
      <c r="M117" s="170"/>
      <c r="N117" s="170"/>
      <c r="O117" s="170"/>
      <c r="P117" s="170"/>
      <c r="Q117" s="170">
        <v>67865.5</v>
      </c>
      <c r="R117" s="170"/>
      <c r="S117" s="170"/>
      <c r="T117" s="170"/>
      <c r="U117" s="167"/>
      <c r="V117" s="167"/>
      <c r="W117" s="167"/>
      <c r="X117" s="179" t="s">
        <v>270</v>
      </c>
      <c r="Y117" s="167">
        <v>2390</v>
      </c>
      <c r="Z117" s="167">
        <v>769</v>
      </c>
      <c r="AA117" s="167" t="s">
        <v>310</v>
      </c>
      <c r="AB117" s="167" t="s">
        <v>271</v>
      </c>
    </row>
    <row r="118" spans="1:28" s="12" customFormat="1" ht="118.8" customHeight="1" x14ac:dyDescent="0.3">
      <c r="A118" s="173" t="s">
        <v>216</v>
      </c>
      <c r="B118" s="177" t="s">
        <v>154</v>
      </c>
      <c r="C118" s="171" t="s">
        <v>187</v>
      </c>
      <c r="D118" s="210" t="s">
        <v>394</v>
      </c>
      <c r="E118" s="170"/>
      <c r="F118" s="178">
        <v>968519.1</v>
      </c>
      <c r="G118" s="178"/>
      <c r="H118" s="170"/>
      <c r="I118" s="170"/>
      <c r="J118" s="170"/>
      <c r="K118" s="170"/>
      <c r="L118" s="178">
        <v>968519.1</v>
      </c>
      <c r="M118" s="170"/>
      <c r="N118" s="170"/>
      <c r="O118" s="170"/>
      <c r="P118" s="170"/>
      <c r="Q118" s="170">
        <v>271807.3</v>
      </c>
      <c r="R118" s="170"/>
      <c r="S118" s="170"/>
      <c r="T118" s="170"/>
      <c r="U118" s="167"/>
      <c r="V118" s="167"/>
      <c r="W118" s="167"/>
      <c r="X118" s="179" t="s">
        <v>270</v>
      </c>
      <c r="Y118" s="167">
        <v>212156</v>
      </c>
      <c r="Z118" s="167">
        <v>228571</v>
      </c>
      <c r="AA118" s="167"/>
      <c r="AB118" s="167"/>
    </row>
    <row r="119" spans="1:28" s="12" customFormat="1" ht="127.8" customHeight="1" x14ac:dyDescent="0.3">
      <c r="A119" s="173" t="s">
        <v>217</v>
      </c>
      <c r="B119" s="177" t="s">
        <v>155</v>
      </c>
      <c r="C119" s="171" t="s">
        <v>188</v>
      </c>
      <c r="D119" s="210" t="s">
        <v>394</v>
      </c>
      <c r="E119" s="178">
        <v>32013.1</v>
      </c>
      <c r="F119" s="170"/>
      <c r="G119" s="170"/>
      <c r="H119" s="170"/>
      <c r="I119" s="170"/>
      <c r="J119" s="178">
        <v>32013.1</v>
      </c>
      <c r="K119" s="170"/>
      <c r="L119" s="170"/>
      <c r="M119" s="170"/>
      <c r="N119" s="170"/>
      <c r="O119" s="170">
        <v>5960.7</v>
      </c>
      <c r="P119" s="170"/>
      <c r="Q119" s="170"/>
      <c r="R119" s="170"/>
      <c r="S119" s="170"/>
      <c r="T119" s="170"/>
      <c r="U119" s="167"/>
      <c r="V119" s="167"/>
      <c r="W119" s="167"/>
      <c r="X119" s="167" t="s">
        <v>270</v>
      </c>
      <c r="Y119" s="167">
        <v>1560</v>
      </c>
      <c r="Z119" s="167"/>
      <c r="AA119" s="167" t="s">
        <v>310</v>
      </c>
      <c r="AB119" s="167" t="s">
        <v>271</v>
      </c>
    </row>
    <row r="120" spans="1:28" s="12" customFormat="1" ht="409.2" customHeight="1" x14ac:dyDescent="0.3">
      <c r="A120" s="173" t="s">
        <v>222</v>
      </c>
      <c r="B120" s="177" t="s">
        <v>317</v>
      </c>
      <c r="C120" s="171" t="s">
        <v>189</v>
      </c>
      <c r="D120" s="210" t="s">
        <v>394</v>
      </c>
      <c r="E120" s="170"/>
      <c r="F120" s="178">
        <v>1795355.4</v>
      </c>
      <c r="G120" s="178"/>
      <c r="H120" s="170"/>
      <c r="I120" s="170"/>
      <c r="J120" s="170"/>
      <c r="K120" s="170"/>
      <c r="L120" s="170">
        <v>1795355.4</v>
      </c>
      <c r="M120" s="170"/>
      <c r="N120" s="170"/>
      <c r="O120" s="170"/>
      <c r="P120" s="170"/>
      <c r="Q120" s="170">
        <v>438963.6</v>
      </c>
      <c r="R120" s="170"/>
      <c r="S120" s="170"/>
      <c r="T120" s="170"/>
      <c r="U120" s="167"/>
      <c r="V120" s="167"/>
      <c r="W120" s="167"/>
      <c r="X120" s="167" t="s">
        <v>270</v>
      </c>
      <c r="Y120" s="167">
        <v>13658</v>
      </c>
      <c r="Z120" s="167"/>
      <c r="AA120" s="167" t="s">
        <v>310</v>
      </c>
      <c r="AB120" s="167" t="s">
        <v>271</v>
      </c>
    </row>
    <row r="121" spans="1:28" s="12" customFormat="1" ht="312.60000000000002" customHeight="1" x14ac:dyDescent="0.3">
      <c r="A121" s="173" t="s">
        <v>232</v>
      </c>
      <c r="B121" s="177" t="s">
        <v>156</v>
      </c>
      <c r="C121" s="171" t="s">
        <v>190</v>
      </c>
      <c r="D121" s="210" t="s">
        <v>394</v>
      </c>
      <c r="E121" s="170"/>
      <c r="F121" s="178">
        <v>1339442.2</v>
      </c>
      <c r="G121" s="178"/>
      <c r="H121" s="170"/>
      <c r="I121" s="170"/>
      <c r="J121" s="170"/>
      <c r="K121" s="170"/>
      <c r="L121" s="170">
        <v>1339442.2</v>
      </c>
      <c r="M121" s="170"/>
      <c r="N121" s="170"/>
      <c r="O121" s="170"/>
      <c r="P121" s="170"/>
      <c r="Q121" s="170">
        <v>293564.2</v>
      </c>
      <c r="R121" s="170"/>
      <c r="S121" s="170"/>
      <c r="T121" s="170"/>
      <c r="U121" s="167"/>
      <c r="V121" s="167"/>
      <c r="W121" s="167"/>
      <c r="X121" s="167" t="s">
        <v>270</v>
      </c>
      <c r="Y121" s="167">
        <v>7206</v>
      </c>
      <c r="Z121" s="167" t="s">
        <v>508</v>
      </c>
      <c r="AA121" s="167" t="s">
        <v>310</v>
      </c>
      <c r="AB121" s="167" t="s">
        <v>271</v>
      </c>
    </row>
    <row r="122" spans="1:28" s="12" customFormat="1" ht="324" customHeight="1" x14ac:dyDescent="0.3">
      <c r="A122" s="173" t="s">
        <v>233</v>
      </c>
      <c r="B122" s="177" t="s">
        <v>157</v>
      </c>
      <c r="C122" s="171" t="s">
        <v>191</v>
      </c>
      <c r="D122" s="210" t="s">
        <v>394</v>
      </c>
      <c r="E122" s="170"/>
      <c r="F122" s="178">
        <v>16753.7</v>
      </c>
      <c r="G122" s="178"/>
      <c r="H122" s="170"/>
      <c r="I122" s="170"/>
      <c r="J122" s="170"/>
      <c r="K122" s="170"/>
      <c r="L122" s="170">
        <v>16753.7</v>
      </c>
      <c r="M122" s="170"/>
      <c r="N122" s="170"/>
      <c r="O122" s="170"/>
      <c r="P122" s="170"/>
      <c r="Q122" s="170">
        <v>3457.2</v>
      </c>
      <c r="R122" s="170"/>
      <c r="S122" s="170"/>
      <c r="T122" s="170"/>
      <c r="U122" s="167"/>
      <c r="V122" s="167"/>
      <c r="W122" s="167"/>
      <c r="X122" s="167" t="s">
        <v>270</v>
      </c>
      <c r="Y122" s="167">
        <v>131</v>
      </c>
      <c r="Z122" s="167" t="s">
        <v>508</v>
      </c>
      <c r="AA122" s="167" t="s">
        <v>310</v>
      </c>
      <c r="AB122" s="167" t="s">
        <v>271</v>
      </c>
    </row>
    <row r="123" spans="1:28" s="12" customFormat="1" ht="329.4" customHeight="1" x14ac:dyDescent="0.3">
      <c r="A123" s="173" t="s">
        <v>234</v>
      </c>
      <c r="B123" s="177" t="s">
        <v>158</v>
      </c>
      <c r="C123" s="171" t="s">
        <v>192</v>
      </c>
      <c r="D123" s="210" t="s">
        <v>394</v>
      </c>
      <c r="E123" s="170"/>
      <c r="F123" s="170">
        <v>20730.3</v>
      </c>
      <c r="G123" s="170"/>
      <c r="H123" s="170"/>
      <c r="I123" s="170"/>
      <c r="J123" s="170"/>
      <c r="K123" s="170"/>
      <c r="L123" s="170">
        <v>20730.3</v>
      </c>
      <c r="M123" s="170"/>
      <c r="N123" s="170"/>
      <c r="O123" s="170"/>
      <c r="P123" s="170"/>
      <c r="Q123" s="170">
        <v>3783.9</v>
      </c>
      <c r="R123" s="170"/>
      <c r="S123" s="170"/>
      <c r="T123" s="170"/>
      <c r="U123" s="167"/>
      <c r="V123" s="167"/>
      <c r="W123" s="167"/>
      <c r="X123" s="167" t="s">
        <v>270</v>
      </c>
      <c r="Y123" s="167">
        <v>132</v>
      </c>
      <c r="Z123" s="167" t="s">
        <v>508</v>
      </c>
      <c r="AA123" s="167" t="s">
        <v>310</v>
      </c>
      <c r="AB123" s="167" t="s">
        <v>271</v>
      </c>
    </row>
    <row r="124" spans="1:28" s="12" customFormat="1" ht="342" x14ac:dyDescent="0.3">
      <c r="A124" s="173" t="s">
        <v>235</v>
      </c>
      <c r="B124" s="177" t="s">
        <v>159</v>
      </c>
      <c r="C124" s="171" t="s">
        <v>193</v>
      </c>
      <c r="D124" s="210" t="s">
        <v>394</v>
      </c>
      <c r="E124" s="170"/>
      <c r="F124" s="178">
        <v>266430.7</v>
      </c>
      <c r="G124" s="178"/>
      <c r="H124" s="170"/>
      <c r="I124" s="170"/>
      <c r="J124" s="170"/>
      <c r="K124" s="170"/>
      <c r="L124" s="170">
        <v>266430.7</v>
      </c>
      <c r="M124" s="170"/>
      <c r="N124" s="170"/>
      <c r="O124" s="170"/>
      <c r="P124" s="170"/>
      <c r="Q124" s="195">
        <v>51066.3</v>
      </c>
      <c r="R124" s="170"/>
      <c r="S124" s="170"/>
      <c r="T124" s="170"/>
      <c r="U124" s="167"/>
      <c r="V124" s="167"/>
      <c r="W124" s="167"/>
      <c r="X124" s="167" t="s">
        <v>270</v>
      </c>
      <c r="Y124" s="167">
        <v>398</v>
      </c>
      <c r="Z124" s="167" t="s">
        <v>508</v>
      </c>
      <c r="AA124" s="167" t="s">
        <v>310</v>
      </c>
      <c r="AB124" s="167" t="s">
        <v>271</v>
      </c>
    </row>
    <row r="125" spans="1:28" s="12" customFormat="1" ht="268.2" customHeight="1" x14ac:dyDescent="0.3">
      <c r="A125" s="173" t="s">
        <v>236</v>
      </c>
      <c r="B125" s="177" t="s">
        <v>160</v>
      </c>
      <c r="C125" s="171" t="s">
        <v>194</v>
      </c>
      <c r="D125" s="210" t="s">
        <v>394</v>
      </c>
      <c r="E125" s="170"/>
      <c r="F125" s="178">
        <v>25902.799999999999</v>
      </c>
      <c r="G125" s="178"/>
      <c r="H125" s="170"/>
      <c r="I125" s="170"/>
      <c r="J125" s="170"/>
      <c r="K125" s="170"/>
      <c r="L125" s="170">
        <v>25902.799999999999</v>
      </c>
      <c r="M125" s="170"/>
      <c r="N125" s="170"/>
      <c r="O125" s="170"/>
      <c r="P125" s="170"/>
      <c r="Q125" s="170">
        <v>4654.7</v>
      </c>
      <c r="R125" s="170"/>
      <c r="S125" s="170"/>
      <c r="T125" s="170"/>
      <c r="U125" s="167"/>
      <c r="V125" s="167"/>
      <c r="W125" s="167"/>
      <c r="X125" s="167" t="s">
        <v>270</v>
      </c>
      <c r="Y125" s="167">
        <v>44</v>
      </c>
      <c r="Z125" s="167" t="s">
        <v>508</v>
      </c>
      <c r="AA125" s="167" t="s">
        <v>310</v>
      </c>
      <c r="AB125" s="167" t="s">
        <v>271</v>
      </c>
    </row>
    <row r="126" spans="1:28" s="12" customFormat="1" ht="256.2" customHeight="1" x14ac:dyDescent="0.3">
      <c r="A126" s="173" t="s">
        <v>237</v>
      </c>
      <c r="B126" s="177" t="s">
        <v>161</v>
      </c>
      <c r="C126" s="171" t="s">
        <v>195</v>
      </c>
      <c r="D126" s="210" t="s">
        <v>394</v>
      </c>
      <c r="E126" s="170"/>
      <c r="F126" s="170">
        <v>123864</v>
      </c>
      <c r="G126" s="170"/>
      <c r="H126" s="170"/>
      <c r="I126" s="170"/>
      <c r="J126" s="170"/>
      <c r="K126" s="170"/>
      <c r="L126" s="170">
        <v>123864</v>
      </c>
      <c r="M126" s="170"/>
      <c r="N126" s="170"/>
      <c r="O126" s="170"/>
      <c r="P126" s="170"/>
      <c r="Q126" s="170">
        <v>24194</v>
      </c>
      <c r="R126" s="170"/>
      <c r="S126" s="170"/>
      <c r="T126" s="170"/>
      <c r="U126" s="167"/>
      <c r="V126" s="167"/>
      <c r="W126" s="167"/>
      <c r="X126" s="167" t="s">
        <v>270</v>
      </c>
      <c r="Y126" s="167">
        <v>156</v>
      </c>
      <c r="Z126" s="167">
        <v>156</v>
      </c>
      <c r="AA126" s="167" t="s">
        <v>314</v>
      </c>
      <c r="AB126" s="167"/>
    </row>
    <row r="127" spans="1:28" s="12" customFormat="1" ht="299.39999999999998" customHeight="1" x14ac:dyDescent="0.3">
      <c r="A127" s="173" t="s">
        <v>238</v>
      </c>
      <c r="B127" s="177" t="s">
        <v>162</v>
      </c>
      <c r="C127" s="171" t="s">
        <v>196</v>
      </c>
      <c r="D127" s="210" t="s">
        <v>394</v>
      </c>
      <c r="E127" s="170">
        <v>941.7</v>
      </c>
      <c r="F127" s="170"/>
      <c r="G127" s="170"/>
      <c r="H127" s="170"/>
      <c r="I127" s="170"/>
      <c r="J127" s="170">
        <v>941.7</v>
      </c>
      <c r="K127" s="170"/>
      <c r="L127" s="170"/>
      <c r="M127" s="170"/>
      <c r="N127" s="170"/>
      <c r="O127" s="170">
        <v>297.5</v>
      </c>
      <c r="P127" s="170"/>
      <c r="Q127" s="170"/>
      <c r="R127" s="170"/>
      <c r="S127" s="170"/>
      <c r="T127" s="170"/>
      <c r="U127" s="167"/>
      <c r="V127" s="167"/>
      <c r="W127" s="167"/>
      <c r="X127" s="167" t="s">
        <v>270</v>
      </c>
      <c r="Y127" s="167">
        <v>10</v>
      </c>
      <c r="Z127" s="167">
        <v>6</v>
      </c>
      <c r="AA127" s="167" t="s">
        <v>310</v>
      </c>
      <c r="AB127" s="167" t="s">
        <v>271</v>
      </c>
    </row>
    <row r="128" spans="1:28" s="12" customFormat="1" ht="279" customHeight="1" x14ac:dyDescent="0.3">
      <c r="A128" s="173" t="s">
        <v>246</v>
      </c>
      <c r="B128" s="177" t="s">
        <v>163</v>
      </c>
      <c r="C128" s="171" t="s">
        <v>197</v>
      </c>
      <c r="D128" s="210" t="s">
        <v>394</v>
      </c>
      <c r="E128" s="170"/>
      <c r="F128" s="170">
        <v>1116</v>
      </c>
      <c r="G128" s="170"/>
      <c r="H128" s="170"/>
      <c r="I128" s="170"/>
      <c r="J128" s="170"/>
      <c r="K128" s="170"/>
      <c r="L128" s="195">
        <v>1116</v>
      </c>
      <c r="M128" s="170"/>
      <c r="N128" s="170"/>
      <c r="O128" s="170"/>
      <c r="P128" s="170"/>
      <c r="Q128" s="170"/>
      <c r="R128" s="170"/>
      <c r="S128" s="170"/>
      <c r="T128" s="170"/>
      <c r="U128" s="167"/>
      <c r="V128" s="167"/>
      <c r="W128" s="179"/>
      <c r="X128" s="167" t="s">
        <v>307</v>
      </c>
      <c r="Y128" s="167">
        <v>105</v>
      </c>
      <c r="Z128" s="167">
        <v>0</v>
      </c>
      <c r="AA128" s="167" t="s">
        <v>310</v>
      </c>
      <c r="AB128" s="167" t="s">
        <v>271</v>
      </c>
    </row>
    <row r="129" spans="1:28" s="12" customFormat="1" ht="54" customHeight="1" x14ac:dyDescent="0.3">
      <c r="A129" s="282" t="s">
        <v>509</v>
      </c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196"/>
      <c r="AA129" s="197"/>
      <c r="AB129" s="197"/>
    </row>
    <row r="130" spans="1:28" ht="40.200000000000003" customHeight="1" x14ac:dyDescent="0.3">
      <c r="A130" s="251" t="s">
        <v>321</v>
      </c>
      <c r="B130" s="251"/>
      <c r="C130" s="251"/>
      <c r="D130" s="251"/>
      <c r="E130" s="251"/>
      <c r="F130" s="251"/>
      <c r="G130" s="251"/>
      <c r="H130" s="148"/>
      <c r="I130" s="198"/>
      <c r="J130" s="198"/>
      <c r="K130" s="148"/>
      <c r="L130" s="148"/>
      <c r="M130" s="148"/>
      <c r="N130" s="148"/>
      <c r="O130" s="199"/>
      <c r="P130" s="198" t="s">
        <v>3</v>
      </c>
      <c r="Q130" s="199"/>
      <c r="R130" s="199"/>
      <c r="S130" s="199"/>
      <c r="T130" s="199"/>
      <c r="U130" s="199"/>
      <c r="V130" s="199"/>
      <c r="W130" s="199"/>
      <c r="X130" s="199"/>
      <c r="Y130" s="199"/>
      <c r="Z130" s="199"/>
      <c r="AA130" s="199" t="s">
        <v>4</v>
      </c>
      <c r="AB130" s="199"/>
    </row>
    <row r="131" spans="1:28" ht="21" x14ac:dyDescent="0.4">
      <c r="A131" s="148" t="s">
        <v>318</v>
      </c>
      <c r="B131" s="198"/>
      <c r="C131" s="200"/>
      <c r="D131" s="211"/>
      <c r="E131" s="198"/>
      <c r="F131" s="148"/>
      <c r="G131" s="148"/>
      <c r="H131" s="148"/>
      <c r="I131" s="148"/>
      <c r="J131" s="148"/>
      <c r="K131" s="148"/>
      <c r="L131" s="148"/>
      <c r="M131" s="148"/>
      <c r="N131" s="148"/>
      <c r="O131" s="199"/>
      <c r="P131" s="201"/>
      <c r="Q131" s="199"/>
      <c r="R131" s="202" t="s">
        <v>12</v>
      </c>
      <c r="S131" s="199"/>
      <c r="T131" s="199"/>
      <c r="U131" s="199"/>
      <c r="V131" s="199"/>
      <c r="W131" s="199"/>
      <c r="X131" s="199"/>
      <c r="Y131" s="199"/>
      <c r="Z131" s="199"/>
      <c r="AA131" s="148" t="s">
        <v>14</v>
      </c>
      <c r="AB131" s="199"/>
    </row>
    <row r="132" spans="1:28" ht="21" x14ac:dyDescent="0.3">
      <c r="A132" s="149" t="s">
        <v>319</v>
      </c>
      <c r="B132" s="203"/>
      <c r="C132" s="204"/>
      <c r="D132" s="212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9"/>
      <c r="V132" s="203"/>
      <c r="W132" s="203"/>
      <c r="X132" s="203"/>
      <c r="Y132" s="203"/>
      <c r="Z132" s="203"/>
      <c r="AA132" s="203"/>
      <c r="AB132" s="203"/>
    </row>
    <row r="133" spans="1:28" ht="21" x14ac:dyDescent="0.3">
      <c r="A133" s="203"/>
      <c r="B133" s="203"/>
      <c r="C133" s="204"/>
      <c r="D133" s="213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203"/>
      <c r="V133" s="203"/>
      <c r="W133" s="203"/>
      <c r="X133" s="203"/>
      <c r="Y133" s="203"/>
      <c r="Z133" s="203"/>
      <c r="AA133" s="203"/>
      <c r="AB133" s="203"/>
    </row>
  </sheetData>
  <mergeCells count="353">
    <mergeCell ref="A129:Y129"/>
    <mergeCell ref="AA20:AA22"/>
    <mergeCell ref="AB93:AB96"/>
    <mergeCell ref="AA93:AA96"/>
    <mergeCell ref="AA110:AA113"/>
    <mergeCell ref="AB110:AB113"/>
    <mergeCell ref="W88:W91"/>
    <mergeCell ref="V88:V91"/>
    <mergeCell ref="U88:U91"/>
    <mergeCell ref="T88:T91"/>
    <mergeCell ref="S88:S91"/>
    <mergeCell ref="R88:R91"/>
    <mergeCell ref="P88:P91"/>
    <mergeCell ref="O88:O91"/>
    <mergeCell ref="N88:N91"/>
    <mergeCell ref="I68:I70"/>
    <mergeCell ref="H68:H70"/>
    <mergeCell ref="G68:G70"/>
    <mergeCell ref="E68:E70"/>
    <mergeCell ref="D68:D70"/>
    <mergeCell ref="T68:T70"/>
    <mergeCell ref="K88:K91"/>
    <mergeCell ref="J88:J91"/>
    <mergeCell ref="I88:I91"/>
    <mergeCell ref="E88:E91"/>
    <mergeCell ref="D88:D91"/>
    <mergeCell ref="M88:M91"/>
    <mergeCell ref="U68:U70"/>
    <mergeCell ref="S68:S70"/>
    <mergeCell ref="R68:R70"/>
    <mergeCell ref="P68:P70"/>
    <mergeCell ref="O68:O70"/>
    <mergeCell ref="N68:N70"/>
    <mergeCell ref="M68:M70"/>
    <mergeCell ref="K68:K70"/>
    <mergeCell ref="J68:J70"/>
    <mergeCell ref="F68:F70"/>
    <mergeCell ref="F88:F91"/>
    <mergeCell ref="AB68:AB70"/>
    <mergeCell ref="AA68:AA70"/>
    <mergeCell ref="Z68:Z70"/>
    <mergeCell ref="Y68:Y70"/>
    <mergeCell ref="X68:X70"/>
    <mergeCell ref="W68:W70"/>
    <mergeCell ref="V68:V70"/>
    <mergeCell ref="H88:H91"/>
    <mergeCell ref="G88:G91"/>
    <mergeCell ref="D13:D15"/>
    <mergeCell ref="D20:D22"/>
    <mergeCell ref="A1:AB1"/>
    <mergeCell ref="A2:AB2"/>
    <mergeCell ref="A3:AB3"/>
    <mergeCell ref="A4:AB4"/>
    <mergeCell ref="A5:AB5"/>
    <mergeCell ref="W7:Z8"/>
    <mergeCell ref="A7:A9"/>
    <mergeCell ref="AB7:AB9"/>
    <mergeCell ref="U7:U9"/>
    <mergeCell ref="B13:B15"/>
    <mergeCell ref="B20:B22"/>
    <mergeCell ref="A20:A22"/>
    <mergeCell ref="AA7:AA9"/>
    <mergeCell ref="F13:F15"/>
    <mergeCell ref="E13:E15"/>
    <mergeCell ref="Z20:Z22"/>
    <mergeCell ref="A13:A15"/>
    <mergeCell ref="U13:U15"/>
    <mergeCell ref="V13:V15"/>
    <mergeCell ref="W13:W15"/>
    <mergeCell ref="X13:X15"/>
    <mergeCell ref="A26:A28"/>
    <mergeCell ref="B30:B32"/>
    <mergeCell ref="A30:A32"/>
    <mergeCell ref="B42:B43"/>
    <mergeCell ref="A42:A43"/>
    <mergeCell ref="A130:G130"/>
    <mergeCell ref="J8:M8"/>
    <mergeCell ref="V7:V9"/>
    <mergeCell ref="B7:B9"/>
    <mergeCell ref="D7:D9"/>
    <mergeCell ref="J7:N7"/>
    <mergeCell ref="E7:I8"/>
    <mergeCell ref="O7:T8"/>
    <mergeCell ref="F20:F22"/>
    <mergeCell ref="E50:E55"/>
    <mergeCell ref="A88:A91"/>
    <mergeCell ref="A103:A104"/>
    <mergeCell ref="B88:B91"/>
    <mergeCell ref="B93:B96"/>
    <mergeCell ref="A93:A96"/>
    <mergeCell ref="F103:F104"/>
    <mergeCell ref="D33:D34"/>
    <mergeCell ref="D93:D96"/>
    <mergeCell ref="C13:C15"/>
    <mergeCell ref="Z26:Z28"/>
    <mergeCell ref="B98:B100"/>
    <mergeCell ref="A98:A100"/>
    <mergeCell ref="B101:B102"/>
    <mergeCell ref="A101:A102"/>
    <mergeCell ref="B110:B113"/>
    <mergeCell ref="A110:A113"/>
    <mergeCell ref="E110:E113"/>
    <mergeCell ref="B47:B48"/>
    <mergeCell ref="A47:A48"/>
    <mergeCell ref="B50:B55"/>
    <mergeCell ref="A50:A55"/>
    <mergeCell ref="B68:B70"/>
    <mergeCell ref="A68:A70"/>
    <mergeCell ref="A33:A34"/>
    <mergeCell ref="B33:B34"/>
    <mergeCell ref="B103:B104"/>
    <mergeCell ref="E30:E32"/>
    <mergeCell ref="E26:E28"/>
    <mergeCell ref="E42:E43"/>
    <mergeCell ref="F98:F100"/>
    <mergeCell ref="D110:D113"/>
    <mergeCell ref="D50:D55"/>
    <mergeCell ref="B26:B28"/>
    <mergeCell ref="F101:F102"/>
    <mergeCell ref="F26:F28"/>
    <mergeCell ref="F30:F32"/>
    <mergeCell ref="F42:F43"/>
    <mergeCell ref="F47:F48"/>
    <mergeCell ref="F50:F55"/>
    <mergeCell ref="G30:G32"/>
    <mergeCell ref="G50:G55"/>
    <mergeCell ref="Y26:Y28"/>
    <mergeCell ref="X50:X55"/>
    <mergeCell ref="W50:W55"/>
    <mergeCell ref="J26:J28"/>
    <mergeCell ref="O26:O28"/>
    <mergeCell ref="G26:G28"/>
    <mergeCell ref="L50:L55"/>
    <mergeCell ref="Q50:Q55"/>
    <mergeCell ref="G13:G15"/>
    <mergeCell ref="H13:H15"/>
    <mergeCell ref="I13:I15"/>
    <mergeCell ref="J13:J15"/>
    <mergeCell ref="K13:K15"/>
    <mergeCell ref="J30:J32"/>
    <mergeCell ref="H50:H55"/>
    <mergeCell ref="I50:I55"/>
    <mergeCell ref="J50:J55"/>
    <mergeCell ref="K50:K55"/>
    <mergeCell ref="M50:M55"/>
    <mergeCell ref="N50:N55"/>
    <mergeCell ref="O50:O55"/>
    <mergeCell ref="P50:P55"/>
    <mergeCell ref="AB101:AB102"/>
    <mergeCell ref="W103:W104"/>
    <mergeCell ref="X103:X104"/>
    <mergeCell ref="Y103:Y104"/>
    <mergeCell ref="Z103:Z104"/>
    <mergeCell ref="AA103:AA104"/>
    <mergeCell ref="AB103:AB104"/>
    <mergeCell ref="L93:L96"/>
    <mergeCell ref="Q93:Q96"/>
    <mergeCell ref="AA98:AA100"/>
    <mergeCell ref="AB98:AB100"/>
    <mergeCell ref="Z93:Z96"/>
    <mergeCell ref="R103:R104"/>
    <mergeCell ref="S103:S104"/>
    <mergeCell ref="T103:T104"/>
    <mergeCell ref="U103:U104"/>
    <mergeCell ref="V103:V104"/>
    <mergeCell ref="Q103:Q104"/>
    <mergeCell ref="O103:O104"/>
    <mergeCell ref="P103:P104"/>
    <mergeCell ref="Q110:Q113"/>
    <mergeCell ref="AB88:AB91"/>
    <mergeCell ref="L68:L70"/>
    <mergeCell ref="L88:L91"/>
    <mergeCell ref="O30:O32"/>
    <mergeCell ref="L30:L32"/>
    <mergeCell ref="L47:L48"/>
    <mergeCell ref="X98:X100"/>
    <mergeCell ref="Y98:Y100"/>
    <mergeCell ref="X88:X91"/>
    <mergeCell ref="Y88:Y91"/>
    <mergeCell ref="Q30:Q32"/>
    <mergeCell ref="X30:X32"/>
    <mergeCell ref="Y30:Y32"/>
    <mergeCell ref="O42:O43"/>
    <mergeCell ref="L42:L43"/>
    <mergeCell ref="R50:R55"/>
    <mergeCell ref="S50:S55"/>
    <mergeCell ref="T50:T55"/>
    <mergeCell ref="U50:U55"/>
    <mergeCell ref="V50:V55"/>
    <mergeCell ref="L20:L22"/>
    <mergeCell ref="Q20:Q22"/>
    <mergeCell ref="M13:M15"/>
    <mergeCell ref="N13:N15"/>
    <mergeCell ref="O13:O15"/>
    <mergeCell ref="P13:P15"/>
    <mergeCell ref="Q88:Q91"/>
    <mergeCell ref="L98:L100"/>
    <mergeCell ref="Q98:Q100"/>
    <mergeCell ref="Q68:Q70"/>
    <mergeCell ref="Q47:Q48"/>
    <mergeCell ref="L26:L28"/>
    <mergeCell ref="Q42:Q43"/>
    <mergeCell ref="Z110:Z113"/>
    <mergeCell ref="AA88:AA91"/>
    <mergeCell ref="X93:X96"/>
    <mergeCell ref="Y93:Y96"/>
    <mergeCell ref="R13:R15"/>
    <mergeCell ref="S13:S15"/>
    <mergeCell ref="X20:X22"/>
    <mergeCell ref="Y20:Y22"/>
    <mergeCell ref="X26:X28"/>
    <mergeCell ref="X42:X43"/>
    <mergeCell ref="Y42:Y43"/>
    <mergeCell ref="X110:X113"/>
    <mergeCell ref="Y110:Y113"/>
    <mergeCell ref="Z30:Z32"/>
    <mergeCell ref="W101:W102"/>
    <mergeCell ref="X101:X102"/>
    <mergeCell ref="Y101:Y102"/>
    <mergeCell ref="Z101:Z102"/>
    <mergeCell ref="Z98:Z100"/>
    <mergeCell ref="Z88:Z91"/>
    <mergeCell ref="AA101:AA102"/>
    <mergeCell ref="AA50:AA55"/>
    <mergeCell ref="Z50:Z55"/>
    <mergeCell ref="Y50:Y55"/>
    <mergeCell ref="Y13:Y15"/>
    <mergeCell ref="Z13:Z15"/>
    <mergeCell ref="AA13:AA15"/>
    <mergeCell ref="AB13:AB15"/>
    <mergeCell ref="T13:T15"/>
    <mergeCell ref="E20:E22"/>
    <mergeCell ref="G20:G22"/>
    <mergeCell ref="H20:H22"/>
    <mergeCell ref="I20:I22"/>
    <mergeCell ref="J20:J22"/>
    <mergeCell ref="K20:K22"/>
    <mergeCell ref="M20:M22"/>
    <mergeCell ref="N20:N22"/>
    <mergeCell ref="O20:O22"/>
    <mergeCell ref="P20:P22"/>
    <mergeCell ref="R20:R22"/>
    <mergeCell ref="S20:S22"/>
    <mergeCell ref="T20:T22"/>
    <mergeCell ref="U20:U22"/>
    <mergeCell ref="V20:V22"/>
    <mergeCell ref="W20:W22"/>
    <mergeCell ref="AB20:AB22"/>
    <mergeCell ref="L13:L15"/>
    <mergeCell ref="Q13:Q15"/>
    <mergeCell ref="D30:D32"/>
    <mergeCell ref="H30:H32"/>
    <mergeCell ref="I30:I32"/>
    <mergeCell ref="K30:K32"/>
    <mergeCell ref="M30:M32"/>
    <mergeCell ref="N30:N32"/>
    <mergeCell ref="P30:P32"/>
    <mergeCell ref="R30:R32"/>
    <mergeCell ref="S30:S32"/>
    <mergeCell ref="T30:T32"/>
    <mergeCell ref="U30:U32"/>
    <mergeCell ref="V30:V32"/>
    <mergeCell ref="W30:W32"/>
    <mergeCell ref="AA30:AA32"/>
    <mergeCell ref="AB30:AB32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D47:D48"/>
    <mergeCell ref="E47:E48"/>
    <mergeCell ref="G47:G48"/>
    <mergeCell ref="H47:H48"/>
    <mergeCell ref="I47:I48"/>
    <mergeCell ref="J47:J48"/>
    <mergeCell ref="K47:K48"/>
    <mergeCell ref="M47:M48"/>
    <mergeCell ref="N47:N48"/>
    <mergeCell ref="O47:O48"/>
    <mergeCell ref="P47:P48"/>
    <mergeCell ref="R47:R48"/>
    <mergeCell ref="S47:S48"/>
    <mergeCell ref="T47:T48"/>
    <mergeCell ref="U47:U48"/>
    <mergeCell ref="V47:V48"/>
    <mergeCell ref="W47:W48"/>
    <mergeCell ref="J42:J43"/>
    <mergeCell ref="X47:X48"/>
    <mergeCell ref="AA47:AA48"/>
    <mergeCell ref="AB47:AB48"/>
    <mergeCell ref="D98:D100"/>
    <mergeCell ref="E98:E100"/>
    <mergeCell ref="G98:G100"/>
    <mergeCell ref="H98:H100"/>
    <mergeCell ref="I98:I100"/>
    <mergeCell ref="J98:J100"/>
    <mergeCell ref="K98:K100"/>
    <mergeCell ref="M98:M100"/>
    <mergeCell ref="N98:N100"/>
    <mergeCell ref="O98:O100"/>
    <mergeCell ref="P98:P100"/>
    <mergeCell ref="R98:R100"/>
    <mergeCell ref="S98:S100"/>
    <mergeCell ref="T98:T100"/>
    <mergeCell ref="U98:U100"/>
    <mergeCell ref="V98:V100"/>
    <mergeCell ref="W98:W100"/>
    <mergeCell ref="Y47:Y48"/>
    <mergeCell ref="Z47:Z48"/>
    <mergeCell ref="AB50:AB55"/>
    <mergeCell ref="F93:F96"/>
    <mergeCell ref="E103:E104"/>
    <mergeCell ref="D103:D104"/>
    <mergeCell ref="G103:G104"/>
    <mergeCell ref="H103:H104"/>
    <mergeCell ref="I103:I104"/>
    <mergeCell ref="J103:J104"/>
    <mergeCell ref="K103:K104"/>
    <mergeCell ref="M103:M104"/>
    <mergeCell ref="N103:N104"/>
    <mergeCell ref="L103:L104"/>
    <mergeCell ref="R110:R113"/>
    <mergeCell ref="S110:S113"/>
    <mergeCell ref="T110:T113"/>
    <mergeCell ref="U110:U113"/>
    <mergeCell ref="V110:V113"/>
    <mergeCell ref="W110:W113"/>
    <mergeCell ref="F110:F113"/>
    <mergeCell ref="G110:G113"/>
    <mergeCell ref="H110:H113"/>
    <mergeCell ref="I110:I113"/>
    <mergeCell ref="K110:K113"/>
    <mergeCell ref="L110:L113"/>
    <mergeCell ref="M110:M113"/>
    <mergeCell ref="N110:N113"/>
    <mergeCell ref="P110:P113"/>
    <mergeCell ref="J110:J113"/>
    <mergeCell ref="O110:O113"/>
  </mergeCells>
  <printOptions horizontalCentered="1" verticalCentered="1"/>
  <pageMargins left="0.51181102362204722" right="0.51181102362204722" top="0.94488188976377963" bottom="0.94488188976377963" header="0.31496062992125984" footer="0.31496062992125984"/>
  <pageSetup paperSize="9" scale="30" fitToHeight="20" orientation="landscape" r:id="rId1"/>
  <rowBreaks count="5" manualBreakCount="5">
    <brk id="43" max="27" man="1"/>
    <brk id="49" max="27" man="1"/>
    <brk id="59" max="27" man="1"/>
    <brk id="78" max="27" man="1"/>
    <brk id="97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8"/>
  <sheetViews>
    <sheetView view="pageBreakPreview" topLeftCell="A40" zoomScale="55" zoomScaleNormal="60" zoomScaleSheetLayoutView="55" workbookViewId="0">
      <selection activeCell="A2" sqref="A2:Q2"/>
    </sheetView>
  </sheetViews>
  <sheetFormatPr defaultRowHeight="15" x14ac:dyDescent="0.25"/>
  <cols>
    <col min="1" max="1" width="12.5546875" style="78" bestFit="1" customWidth="1"/>
    <col min="2" max="2" width="51.44140625" style="49" customWidth="1"/>
    <col min="3" max="3" width="9.5546875" style="42" bestFit="1" customWidth="1"/>
    <col min="4" max="4" width="31" style="42" customWidth="1"/>
    <col min="5" max="8" width="21.44140625" style="42" customWidth="1"/>
    <col min="9" max="9" width="28" style="79" hidden="1" customWidth="1"/>
    <col min="10" max="10" width="11.5546875" style="42" hidden="1" customWidth="1"/>
    <col min="11" max="12" width="14.5546875" style="42" customWidth="1"/>
    <col min="13" max="16" width="14.5546875" style="76" customWidth="1"/>
    <col min="17" max="17" width="23" style="76" customWidth="1"/>
    <col min="18" max="18" width="15.77734375" style="76" customWidth="1"/>
    <col min="19" max="19" width="23" style="76" customWidth="1"/>
    <col min="20" max="20" width="7.5546875" style="77" customWidth="1"/>
    <col min="21" max="21" width="11.44140625" style="42" customWidth="1"/>
    <col min="22" max="22" width="12.44140625" style="42" customWidth="1"/>
    <col min="23" max="23" width="16.109375" style="42" customWidth="1"/>
    <col min="24" max="24" width="11.44140625" style="42" bestFit="1" customWidth="1"/>
    <col min="25" max="264" width="9.109375" style="42"/>
    <col min="265" max="265" width="12.5546875" style="42" bestFit="1" customWidth="1"/>
    <col min="266" max="266" width="51.44140625" style="42" customWidth="1"/>
    <col min="267" max="267" width="9.5546875" style="42" bestFit="1" customWidth="1"/>
    <col min="268" max="268" width="31" style="42" customWidth="1"/>
    <col min="269" max="269" width="21.44140625" style="42" customWidth="1"/>
    <col min="270" max="270" width="28" style="42" customWidth="1"/>
    <col min="271" max="271" width="0" style="42" hidden="1" customWidth="1"/>
    <col min="272" max="274" width="14.5546875" style="42" customWidth="1"/>
    <col min="275" max="275" width="23" style="42" customWidth="1"/>
    <col min="276" max="276" width="7.5546875" style="42" customWidth="1"/>
    <col min="277" max="277" width="11.44140625" style="42" customWidth="1"/>
    <col min="278" max="278" width="12.44140625" style="42" customWidth="1"/>
    <col min="279" max="279" width="16.109375" style="42" customWidth="1"/>
    <col min="280" max="280" width="11.44140625" style="42" bestFit="1" customWidth="1"/>
    <col min="281" max="520" width="9.109375" style="42"/>
    <col min="521" max="521" width="12.5546875" style="42" bestFit="1" customWidth="1"/>
    <col min="522" max="522" width="51.44140625" style="42" customWidth="1"/>
    <col min="523" max="523" width="9.5546875" style="42" bestFit="1" customWidth="1"/>
    <col min="524" max="524" width="31" style="42" customWidth="1"/>
    <col min="525" max="525" width="21.44140625" style="42" customWidth="1"/>
    <col min="526" max="526" width="28" style="42" customWidth="1"/>
    <col min="527" max="527" width="0" style="42" hidden="1" customWidth="1"/>
    <col min="528" max="530" width="14.5546875" style="42" customWidth="1"/>
    <col min="531" max="531" width="23" style="42" customWidth="1"/>
    <col min="532" max="532" width="7.5546875" style="42" customWidth="1"/>
    <col min="533" max="533" width="11.44140625" style="42" customWidth="1"/>
    <col min="534" max="534" width="12.44140625" style="42" customWidth="1"/>
    <col min="535" max="535" width="16.109375" style="42" customWidth="1"/>
    <col min="536" max="536" width="11.44140625" style="42" bestFit="1" customWidth="1"/>
    <col min="537" max="776" width="9.109375" style="42"/>
    <col min="777" max="777" width="12.5546875" style="42" bestFit="1" customWidth="1"/>
    <col min="778" max="778" width="51.44140625" style="42" customWidth="1"/>
    <col min="779" max="779" width="9.5546875" style="42" bestFit="1" customWidth="1"/>
    <col min="780" max="780" width="31" style="42" customWidth="1"/>
    <col min="781" max="781" width="21.44140625" style="42" customWidth="1"/>
    <col min="782" max="782" width="28" style="42" customWidth="1"/>
    <col min="783" max="783" width="0" style="42" hidden="1" customWidth="1"/>
    <col min="784" max="786" width="14.5546875" style="42" customWidth="1"/>
    <col min="787" max="787" width="23" style="42" customWidth="1"/>
    <col min="788" max="788" width="7.5546875" style="42" customWidth="1"/>
    <col min="789" max="789" width="11.44140625" style="42" customWidth="1"/>
    <col min="790" max="790" width="12.44140625" style="42" customWidth="1"/>
    <col min="791" max="791" width="16.109375" style="42" customWidth="1"/>
    <col min="792" max="792" width="11.44140625" style="42" bestFit="1" customWidth="1"/>
    <col min="793" max="1032" width="9.109375" style="42"/>
    <col min="1033" max="1033" width="12.5546875" style="42" bestFit="1" customWidth="1"/>
    <col min="1034" max="1034" width="51.44140625" style="42" customWidth="1"/>
    <col min="1035" max="1035" width="9.5546875" style="42" bestFit="1" customWidth="1"/>
    <col min="1036" max="1036" width="31" style="42" customWidth="1"/>
    <col min="1037" max="1037" width="21.44140625" style="42" customWidth="1"/>
    <col min="1038" max="1038" width="28" style="42" customWidth="1"/>
    <col min="1039" max="1039" width="0" style="42" hidden="1" customWidth="1"/>
    <col min="1040" max="1042" width="14.5546875" style="42" customWidth="1"/>
    <col min="1043" max="1043" width="23" style="42" customWidth="1"/>
    <col min="1044" max="1044" width="7.5546875" style="42" customWidth="1"/>
    <col min="1045" max="1045" width="11.44140625" style="42" customWidth="1"/>
    <col min="1046" max="1046" width="12.44140625" style="42" customWidth="1"/>
    <col min="1047" max="1047" width="16.109375" style="42" customWidth="1"/>
    <col min="1048" max="1048" width="11.44140625" style="42" bestFit="1" customWidth="1"/>
    <col min="1049" max="1288" width="9.109375" style="42"/>
    <col min="1289" max="1289" width="12.5546875" style="42" bestFit="1" customWidth="1"/>
    <col min="1290" max="1290" width="51.44140625" style="42" customWidth="1"/>
    <col min="1291" max="1291" width="9.5546875" style="42" bestFit="1" customWidth="1"/>
    <col min="1292" max="1292" width="31" style="42" customWidth="1"/>
    <col min="1293" max="1293" width="21.44140625" style="42" customWidth="1"/>
    <col min="1294" max="1294" width="28" style="42" customWidth="1"/>
    <col min="1295" max="1295" width="0" style="42" hidden="1" customWidth="1"/>
    <col min="1296" max="1298" width="14.5546875" style="42" customWidth="1"/>
    <col min="1299" max="1299" width="23" style="42" customWidth="1"/>
    <col min="1300" max="1300" width="7.5546875" style="42" customWidth="1"/>
    <col min="1301" max="1301" width="11.44140625" style="42" customWidth="1"/>
    <col min="1302" max="1302" width="12.44140625" style="42" customWidth="1"/>
    <col min="1303" max="1303" width="16.109375" style="42" customWidth="1"/>
    <col min="1304" max="1304" width="11.44140625" style="42" bestFit="1" customWidth="1"/>
    <col min="1305" max="1544" width="9.109375" style="42"/>
    <col min="1545" max="1545" width="12.5546875" style="42" bestFit="1" customWidth="1"/>
    <col min="1546" max="1546" width="51.44140625" style="42" customWidth="1"/>
    <col min="1547" max="1547" width="9.5546875" style="42" bestFit="1" customWidth="1"/>
    <col min="1548" max="1548" width="31" style="42" customWidth="1"/>
    <col min="1549" max="1549" width="21.44140625" style="42" customWidth="1"/>
    <col min="1550" max="1550" width="28" style="42" customWidth="1"/>
    <col min="1551" max="1551" width="0" style="42" hidden="1" customWidth="1"/>
    <col min="1552" max="1554" width="14.5546875" style="42" customWidth="1"/>
    <col min="1555" max="1555" width="23" style="42" customWidth="1"/>
    <col min="1556" max="1556" width="7.5546875" style="42" customWidth="1"/>
    <col min="1557" max="1557" width="11.44140625" style="42" customWidth="1"/>
    <col min="1558" max="1558" width="12.44140625" style="42" customWidth="1"/>
    <col min="1559" max="1559" width="16.109375" style="42" customWidth="1"/>
    <col min="1560" max="1560" width="11.44140625" style="42" bestFit="1" customWidth="1"/>
    <col min="1561" max="1800" width="9.109375" style="42"/>
    <col min="1801" max="1801" width="12.5546875" style="42" bestFit="1" customWidth="1"/>
    <col min="1802" max="1802" width="51.44140625" style="42" customWidth="1"/>
    <col min="1803" max="1803" width="9.5546875" style="42" bestFit="1" customWidth="1"/>
    <col min="1804" max="1804" width="31" style="42" customWidth="1"/>
    <col min="1805" max="1805" width="21.44140625" style="42" customWidth="1"/>
    <col min="1806" max="1806" width="28" style="42" customWidth="1"/>
    <col min="1807" max="1807" width="0" style="42" hidden="1" customWidth="1"/>
    <col min="1808" max="1810" width="14.5546875" style="42" customWidth="1"/>
    <col min="1811" max="1811" width="23" style="42" customWidth="1"/>
    <col min="1812" max="1812" width="7.5546875" style="42" customWidth="1"/>
    <col min="1813" max="1813" width="11.44140625" style="42" customWidth="1"/>
    <col min="1814" max="1814" width="12.44140625" style="42" customWidth="1"/>
    <col min="1815" max="1815" width="16.109375" style="42" customWidth="1"/>
    <col min="1816" max="1816" width="11.44140625" style="42" bestFit="1" customWidth="1"/>
    <col min="1817" max="2056" width="9.109375" style="42"/>
    <col min="2057" max="2057" width="12.5546875" style="42" bestFit="1" customWidth="1"/>
    <col min="2058" max="2058" width="51.44140625" style="42" customWidth="1"/>
    <col min="2059" max="2059" width="9.5546875" style="42" bestFit="1" customWidth="1"/>
    <col min="2060" max="2060" width="31" style="42" customWidth="1"/>
    <col min="2061" max="2061" width="21.44140625" style="42" customWidth="1"/>
    <col min="2062" max="2062" width="28" style="42" customWidth="1"/>
    <col min="2063" max="2063" width="0" style="42" hidden="1" customWidth="1"/>
    <col min="2064" max="2066" width="14.5546875" style="42" customWidth="1"/>
    <col min="2067" max="2067" width="23" style="42" customWidth="1"/>
    <col min="2068" max="2068" width="7.5546875" style="42" customWidth="1"/>
    <col min="2069" max="2069" width="11.44140625" style="42" customWidth="1"/>
    <col min="2070" max="2070" width="12.44140625" style="42" customWidth="1"/>
    <col min="2071" max="2071" width="16.109375" style="42" customWidth="1"/>
    <col min="2072" max="2072" width="11.44140625" style="42" bestFit="1" customWidth="1"/>
    <col min="2073" max="2312" width="9.109375" style="42"/>
    <col min="2313" max="2313" width="12.5546875" style="42" bestFit="1" customWidth="1"/>
    <col min="2314" max="2314" width="51.44140625" style="42" customWidth="1"/>
    <col min="2315" max="2315" width="9.5546875" style="42" bestFit="1" customWidth="1"/>
    <col min="2316" max="2316" width="31" style="42" customWidth="1"/>
    <col min="2317" max="2317" width="21.44140625" style="42" customWidth="1"/>
    <col min="2318" max="2318" width="28" style="42" customWidth="1"/>
    <col min="2319" max="2319" width="0" style="42" hidden="1" customWidth="1"/>
    <col min="2320" max="2322" width="14.5546875" style="42" customWidth="1"/>
    <col min="2323" max="2323" width="23" style="42" customWidth="1"/>
    <col min="2324" max="2324" width="7.5546875" style="42" customWidth="1"/>
    <col min="2325" max="2325" width="11.44140625" style="42" customWidth="1"/>
    <col min="2326" max="2326" width="12.44140625" style="42" customWidth="1"/>
    <col min="2327" max="2327" width="16.109375" style="42" customWidth="1"/>
    <col min="2328" max="2328" width="11.44140625" style="42" bestFit="1" customWidth="1"/>
    <col min="2329" max="2568" width="9.109375" style="42"/>
    <col min="2569" max="2569" width="12.5546875" style="42" bestFit="1" customWidth="1"/>
    <col min="2570" max="2570" width="51.44140625" style="42" customWidth="1"/>
    <col min="2571" max="2571" width="9.5546875" style="42" bestFit="1" customWidth="1"/>
    <col min="2572" max="2572" width="31" style="42" customWidth="1"/>
    <col min="2573" max="2573" width="21.44140625" style="42" customWidth="1"/>
    <col min="2574" max="2574" width="28" style="42" customWidth="1"/>
    <col min="2575" max="2575" width="0" style="42" hidden="1" customWidth="1"/>
    <col min="2576" max="2578" width="14.5546875" style="42" customWidth="1"/>
    <col min="2579" max="2579" width="23" style="42" customWidth="1"/>
    <col min="2580" max="2580" width="7.5546875" style="42" customWidth="1"/>
    <col min="2581" max="2581" width="11.44140625" style="42" customWidth="1"/>
    <col min="2582" max="2582" width="12.44140625" style="42" customWidth="1"/>
    <col min="2583" max="2583" width="16.109375" style="42" customWidth="1"/>
    <col min="2584" max="2584" width="11.44140625" style="42" bestFit="1" customWidth="1"/>
    <col min="2585" max="2824" width="9.109375" style="42"/>
    <col min="2825" max="2825" width="12.5546875" style="42" bestFit="1" customWidth="1"/>
    <col min="2826" max="2826" width="51.44140625" style="42" customWidth="1"/>
    <col min="2827" max="2827" width="9.5546875" style="42" bestFit="1" customWidth="1"/>
    <col min="2828" max="2828" width="31" style="42" customWidth="1"/>
    <col min="2829" max="2829" width="21.44140625" style="42" customWidth="1"/>
    <col min="2830" max="2830" width="28" style="42" customWidth="1"/>
    <col min="2831" max="2831" width="0" style="42" hidden="1" customWidth="1"/>
    <col min="2832" max="2834" width="14.5546875" style="42" customWidth="1"/>
    <col min="2835" max="2835" width="23" style="42" customWidth="1"/>
    <col min="2836" max="2836" width="7.5546875" style="42" customWidth="1"/>
    <col min="2837" max="2837" width="11.44140625" style="42" customWidth="1"/>
    <col min="2838" max="2838" width="12.44140625" style="42" customWidth="1"/>
    <col min="2839" max="2839" width="16.109375" style="42" customWidth="1"/>
    <col min="2840" max="2840" width="11.44140625" style="42" bestFit="1" customWidth="1"/>
    <col min="2841" max="3080" width="9.109375" style="42"/>
    <col min="3081" max="3081" width="12.5546875" style="42" bestFit="1" customWidth="1"/>
    <col min="3082" max="3082" width="51.44140625" style="42" customWidth="1"/>
    <col min="3083" max="3083" width="9.5546875" style="42" bestFit="1" customWidth="1"/>
    <col min="3084" max="3084" width="31" style="42" customWidth="1"/>
    <col min="3085" max="3085" width="21.44140625" style="42" customWidth="1"/>
    <col min="3086" max="3086" width="28" style="42" customWidth="1"/>
    <col min="3087" max="3087" width="0" style="42" hidden="1" customWidth="1"/>
    <col min="3088" max="3090" width="14.5546875" style="42" customWidth="1"/>
    <col min="3091" max="3091" width="23" style="42" customWidth="1"/>
    <col min="3092" max="3092" width="7.5546875" style="42" customWidth="1"/>
    <col min="3093" max="3093" width="11.44140625" style="42" customWidth="1"/>
    <col min="3094" max="3094" width="12.44140625" style="42" customWidth="1"/>
    <col min="3095" max="3095" width="16.109375" style="42" customWidth="1"/>
    <col min="3096" max="3096" width="11.44140625" style="42" bestFit="1" customWidth="1"/>
    <col min="3097" max="3336" width="9.109375" style="42"/>
    <col min="3337" max="3337" width="12.5546875" style="42" bestFit="1" customWidth="1"/>
    <col min="3338" max="3338" width="51.44140625" style="42" customWidth="1"/>
    <col min="3339" max="3339" width="9.5546875" style="42" bestFit="1" customWidth="1"/>
    <col min="3340" max="3340" width="31" style="42" customWidth="1"/>
    <col min="3341" max="3341" width="21.44140625" style="42" customWidth="1"/>
    <col min="3342" max="3342" width="28" style="42" customWidth="1"/>
    <col min="3343" max="3343" width="0" style="42" hidden="1" customWidth="1"/>
    <col min="3344" max="3346" width="14.5546875" style="42" customWidth="1"/>
    <col min="3347" max="3347" width="23" style="42" customWidth="1"/>
    <col min="3348" max="3348" width="7.5546875" style="42" customWidth="1"/>
    <col min="3349" max="3349" width="11.44140625" style="42" customWidth="1"/>
    <col min="3350" max="3350" width="12.44140625" style="42" customWidth="1"/>
    <col min="3351" max="3351" width="16.109375" style="42" customWidth="1"/>
    <col min="3352" max="3352" width="11.44140625" style="42" bestFit="1" customWidth="1"/>
    <col min="3353" max="3592" width="9.109375" style="42"/>
    <col min="3593" max="3593" width="12.5546875" style="42" bestFit="1" customWidth="1"/>
    <col min="3594" max="3594" width="51.44140625" style="42" customWidth="1"/>
    <col min="3595" max="3595" width="9.5546875" style="42" bestFit="1" customWidth="1"/>
    <col min="3596" max="3596" width="31" style="42" customWidth="1"/>
    <col min="3597" max="3597" width="21.44140625" style="42" customWidth="1"/>
    <col min="3598" max="3598" width="28" style="42" customWidth="1"/>
    <col min="3599" max="3599" width="0" style="42" hidden="1" customWidth="1"/>
    <col min="3600" max="3602" width="14.5546875" style="42" customWidth="1"/>
    <col min="3603" max="3603" width="23" style="42" customWidth="1"/>
    <col min="3604" max="3604" width="7.5546875" style="42" customWidth="1"/>
    <col min="3605" max="3605" width="11.44140625" style="42" customWidth="1"/>
    <col min="3606" max="3606" width="12.44140625" style="42" customWidth="1"/>
    <col min="3607" max="3607" width="16.109375" style="42" customWidth="1"/>
    <col min="3608" max="3608" width="11.44140625" style="42" bestFit="1" customWidth="1"/>
    <col min="3609" max="3848" width="9.109375" style="42"/>
    <col min="3849" max="3849" width="12.5546875" style="42" bestFit="1" customWidth="1"/>
    <col min="3850" max="3850" width="51.44140625" style="42" customWidth="1"/>
    <col min="3851" max="3851" width="9.5546875" style="42" bestFit="1" customWidth="1"/>
    <col min="3852" max="3852" width="31" style="42" customWidth="1"/>
    <col min="3853" max="3853" width="21.44140625" style="42" customWidth="1"/>
    <col min="3854" max="3854" width="28" style="42" customWidth="1"/>
    <col min="3855" max="3855" width="0" style="42" hidden="1" customWidth="1"/>
    <col min="3856" max="3858" width="14.5546875" style="42" customWidth="1"/>
    <col min="3859" max="3859" width="23" style="42" customWidth="1"/>
    <col min="3860" max="3860" width="7.5546875" style="42" customWidth="1"/>
    <col min="3861" max="3861" width="11.44140625" style="42" customWidth="1"/>
    <col min="3862" max="3862" width="12.44140625" style="42" customWidth="1"/>
    <col min="3863" max="3863" width="16.109375" style="42" customWidth="1"/>
    <col min="3864" max="3864" width="11.44140625" style="42" bestFit="1" customWidth="1"/>
    <col min="3865" max="4104" width="9.109375" style="42"/>
    <col min="4105" max="4105" width="12.5546875" style="42" bestFit="1" customWidth="1"/>
    <col min="4106" max="4106" width="51.44140625" style="42" customWidth="1"/>
    <col min="4107" max="4107" width="9.5546875" style="42" bestFit="1" customWidth="1"/>
    <col min="4108" max="4108" width="31" style="42" customWidth="1"/>
    <col min="4109" max="4109" width="21.44140625" style="42" customWidth="1"/>
    <col min="4110" max="4110" width="28" style="42" customWidth="1"/>
    <col min="4111" max="4111" width="0" style="42" hidden="1" customWidth="1"/>
    <col min="4112" max="4114" width="14.5546875" style="42" customWidth="1"/>
    <col min="4115" max="4115" width="23" style="42" customWidth="1"/>
    <col min="4116" max="4116" width="7.5546875" style="42" customWidth="1"/>
    <col min="4117" max="4117" width="11.44140625" style="42" customWidth="1"/>
    <col min="4118" max="4118" width="12.44140625" style="42" customWidth="1"/>
    <col min="4119" max="4119" width="16.109375" style="42" customWidth="1"/>
    <col min="4120" max="4120" width="11.44140625" style="42" bestFit="1" customWidth="1"/>
    <col min="4121" max="4360" width="9.109375" style="42"/>
    <col min="4361" max="4361" width="12.5546875" style="42" bestFit="1" customWidth="1"/>
    <col min="4362" max="4362" width="51.44140625" style="42" customWidth="1"/>
    <col min="4363" max="4363" width="9.5546875" style="42" bestFit="1" customWidth="1"/>
    <col min="4364" max="4364" width="31" style="42" customWidth="1"/>
    <col min="4365" max="4365" width="21.44140625" style="42" customWidth="1"/>
    <col min="4366" max="4366" width="28" style="42" customWidth="1"/>
    <col min="4367" max="4367" width="0" style="42" hidden="1" customWidth="1"/>
    <col min="4368" max="4370" width="14.5546875" style="42" customWidth="1"/>
    <col min="4371" max="4371" width="23" style="42" customWidth="1"/>
    <col min="4372" max="4372" width="7.5546875" style="42" customWidth="1"/>
    <col min="4373" max="4373" width="11.44140625" style="42" customWidth="1"/>
    <col min="4374" max="4374" width="12.44140625" style="42" customWidth="1"/>
    <col min="4375" max="4375" width="16.109375" style="42" customWidth="1"/>
    <col min="4376" max="4376" width="11.44140625" style="42" bestFit="1" customWidth="1"/>
    <col min="4377" max="4616" width="9.109375" style="42"/>
    <col min="4617" max="4617" width="12.5546875" style="42" bestFit="1" customWidth="1"/>
    <col min="4618" max="4618" width="51.44140625" style="42" customWidth="1"/>
    <col min="4619" max="4619" width="9.5546875" style="42" bestFit="1" customWidth="1"/>
    <col min="4620" max="4620" width="31" style="42" customWidth="1"/>
    <col min="4621" max="4621" width="21.44140625" style="42" customWidth="1"/>
    <col min="4622" max="4622" width="28" style="42" customWidth="1"/>
    <col min="4623" max="4623" width="0" style="42" hidden="1" customWidth="1"/>
    <col min="4624" max="4626" width="14.5546875" style="42" customWidth="1"/>
    <col min="4627" max="4627" width="23" style="42" customWidth="1"/>
    <col min="4628" max="4628" width="7.5546875" style="42" customWidth="1"/>
    <col min="4629" max="4629" width="11.44140625" style="42" customWidth="1"/>
    <col min="4630" max="4630" width="12.44140625" style="42" customWidth="1"/>
    <col min="4631" max="4631" width="16.109375" style="42" customWidth="1"/>
    <col min="4632" max="4632" width="11.44140625" style="42" bestFit="1" customWidth="1"/>
    <col min="4633" max="4872" width="9.109375" style="42"/>
    <col min="4873" max="4873" width="12.5546875" style="42" bestFit="1" customWidth="1"/>
    <col min="4874" max="4874" width="51.44140625" style="42" customWidth="1"/>
    <col min="4875" max="4875" width="9.5546875" style="42" bestFit="1" customWidth="1"/>
    <col min="4876" max="4876" width="31" style="42" customWidth="1"/>
    <col min="4877" max="4877" width="21.44140625" style="42" customWidth="1"/>
    <col min="4878" max="4878" width="28" style="42" customWidth="1"/>
    <col min="4879" max="4879" width="0" style="42" hidden="1" customWidth="1"/>
    <col min="4880" max="4882" width="14.5546875" style="42" customWidth="1"/>
    <col min="4883" max="4883" width="23" style="42" customWidth="1"/>
    <col min="4884" max="4884" width="7.5546875" style="42" customWidth="1"/>
    <col min="4885" max="4885" width="11.44140625" style="42" customWidth="1"/>
    <col min="4886" max="4886" width="12.44140625" style="42" customWidth="1"/>
    <col min="4887" max="4887" width="16.109375" style="42" customWidth="1"/>
    <col min="4888" max="4888" width="11.44140625" style="42" bestFit="1" customWidth="1"/>
    <col min="4889" max="5128" width="9.109375" style="42"/>
    <col min="5129" max="5129" width="12.5546875" style="42" bestFit="1" customWidth="1"/>
    <col min="5130" max="5130" width="51.44140625" style="42" customWidth="1"/>
    <col min="5131" max="5131" width="9.5546875" style="42" bestFit="1" customWidth="1"/>
    <col min="5132" max="5132" width="31" style="42" customWidth="1"/>
    <col min="5133" max="5133" width="21.44140625" style="42" customWidth="1"/>
    <col min="5134" max="5134" width="28" style="42" customWidth="1"/>
    <col min="5135" max="5135" width="0" style="42" hidden="1" customWidth="1"/>
    <col min="5136" max="5138" width="14.5546875" style="42" customWidth="1"/>
    <col min="5139" max="5139" width="23" style="42" customWidth="1"/>
    <col min="5140" max="5140" width="7.5546875" style="42" customWidth="1"/>
    <col min="5141" max="5141" width="11.44140625" style="42" customWidth="1"/>
    <col min="5142" max="5142" width="12.44140625" style="42" customWidth="1"/>
    <col min="5143" max="5143" width="16.109375" style="42" customWidth="1"/>
    <col min="5144" max="5144" width="11.44140625" style="42" bestFit="1" customWidth="1"/>
    <col min="5145" max="5384" width="9.109375" style="42"/>
    <col min="5385" max="5385" width="12.5546875" style="42" bestFit="1" customWidth="1"/>
    <col min="5386" max="5386" width="51.44140625" style="42" customWidth="1"/>
    <col min="5387" max="5387" width="9.5546875" style="42" bestFit="1" customWidth="1"/>
    <col min="5388" max="5388" width="31" style="42" customWidth="1"/>
    <col min="5389" max="5389" width="21.44140625" style="42" customWidth="1"/>
    <col min="5390" max="5390" width="28" style="42" customWidth="1"/>
    <col min="5391" max="5391" width="0" style="42" hidden="1" customWidth="1"/>
    <col min="5392" max="5394" width="14.5546875" style="42" customWidth="1"/>
    <col min="5395" max="5395" width="23" style="42" customWidth="1"/>
    <col min="5396" max="5396" width="7.5546875" style="42" customWidth="1"/>
    <col min="5397" max="5397" width="11.44140625" style="42" customWidth="1"/>
    <col min="5398" max="5398" width="12.44140625" style="42" customWidth="1"/>
    <col min="5399" max="5399" width="16.109375" style="42" customWidth="1"/>
    <col min="5400" max="5400" width="11.44140625" style="42" bestFit="1" customWidth="1"/>
    <col min="5401" max="5640" width="9.109375" style="42"/>
    <col min="5641" max="5641" width="12.5546875" style="42" bestFit="1" customWidth="1"/>
    <col min="5642" max="5642" width="51.44140625" style="42" customWidth="1"/>
    <col min="5643" max="5643" width="9.5546875" style="42" bestFit="1" customWidth="1"/>
    <col min="5644" max="5644" width="31" style="42" customWidth="1"/>
    <col min="5645" max="5645" width="21.44140625" style="42" customWidth="1"/>
    <col min="5646" max="5646" width="28" style="42" customWidth="1"/>
    <col min="5647" max="5647" width="0" style="42" hidden="1" customWidth="1"/>
    <col min="5648" max="5650" width="14.5546875" style="42" customWidth="1"/>
    <col min="5651" max="5651" width="23" style="42" customWidth="1"/>
    <col min="5652" max="5652" width="7.5546875" style="42" customWidth="1"/>
    <col min="5653" max="5653" width="11.44140625" style="42" customWidth="1"/>
    <col min="5654" max="5654" width="12.44140625" style="42" customWidth="1"/>
    <col min="5655" max="5655" width="16.109375" style="42" customWidth="1"/>
    <col min="5656" max="5656" width="11.44140625" style="42" bestFit="1" customWidth="1"/>
    <col min="5657" max="5896" width="9.109375" style="42"/>
    <col min="5897" max="5897" width="12.5546875" style="42" bestFit="1" customWidth="1"/>
    <col min="5898" max="5898" width="51.44140625" style="42" customWidth="1"/>
    <col min="5899" max="5899" width="9.5546875" style="42" bestFit="1" customWidth="1"/>
    <col min="5900" max="5900" width="31" style="42" customWidth="1"/>
    <col min="5901" max="5901" width="21.44140625" style="42" customWidth="1"/>
    <col min="5902" max="5902" width="28" style="42" customWidth="1"/>
    <col min="5903" max="5903" width="0" style="42" hidden="1" customWidth="1"/>
    <col min="5904" max="5906" width="14.5546875" style="42" customWidth="1"/>
    <col min="5907" max="5907" width="23" style="42" customWidth="1"/>
    <col min="5908" max="5908" width="7.5546875" style="42" customWidth="1"/>
    <col min="5909" max="5909" width="11.44140625" style="42" customWidth="1"/>
    <col min="5910" max="5910" width="12.44140625" style="42" customWidth="1"/>
    <col min="5911" max="5911" width="16.109375" style="42" customWidth="1"/>
    <col min="5912" max="5912" width="11.44140625" style="42" bestFit="1" customWidth="1"/>
    <col min="5913" max="6152" width="9.109375" style="42"/>
    <col min="6153" max="6153" width="12.5546875" style="42" bestFit="1" customWidth="1"/>
    <col min="6154" max="6154" width="51.44140625" style="42" customWidth="1"/>
    <col min="6155" max="6155" width="9.5546875" style="42" bestFit="1" customWidth="1"/>
    <col min="6156" max="6156" width="31" style="42" customWidth="1"/>
    <col min="6157" max="6157" width="21.44140625" style="42" customWidth="1"/>
    <col min="6158" max="6158" width="28" style="42" customWidth="1"/>
    <col min="6159" max="6159" width="0" style="42" hidden="1" customWidth="1"/>
    <col min="6160" max="6162" width="14.5546875" style="42" customWidth="1"/>
    <col min="6163" max="6163" width="23" style="42" customWidth="1"/>
    <col min="6164" max="6164" width="7.5546875" style="42" customWidth="1"/>
    <col min="6165" max="6165" width="11.44140625" style="42" customWidth="1"/>
    <col min="6166" max="6166" width="12.44140625" style="42" customWidth="1"/>
    <col min="6167" max="6167" width="16.109375" style="42" customWidth="1"/>
    <col min="6168" max="6168" width="11.44140625" style="42" bestFit="1" customWidth="1"/>
    <col min="6169" max="6408" width="9.109375" style="42"/>
    <col min="6409" max="6409" width="12.5546875" style="42" bestFit="1" customWidth="1"/>
    <col min="6410" max="6410" width="51.44140625" style="42" customWidth="1"/>
    <col min="6411" max="6411" width="9.5546875" style="42" bestFit="1" customWidth="1"/>
    <col min="6412" max="6412" width="31" style="42" customWidth="1"/>
    <col min="6413" max="6413" width="21.44140625" style="42" customWidth="1"/>
    <col min="6414" max="6414" width="28" style="42" customWidth="1"/>
    <col min="6415" max="6415" width="0" style="42" hidden="1" customWidth="1"/>
    <col min="6416" max="6418" width="14.5546875" style="42" customWidth="1"/>
    <col min="6419" max="6419" width="23" style="42" customWidth="1"/>
    <col min="6420" max="6420" width="7.5546875" style="42" customWidth="1"/>
    <col min="6421" max="6421" width="11.44140625" style="42" customWidth="1"/>
    <col min="6422" max="6422" width="12.44140625" style="42" customWidth="1"/>
    <col min="6423" max="6423" width="16.109375" style="42" customWidth="1"/>
    <col min="6424" max="6424" width="11.44140625" style="42" bestFit="1" customWidth="1"/>
    <col min="6425" max="6664" width="9.109375" style="42"/>
    <col min="6665" max="6665" width="12.5546875" style="42" bestFit="1" customWidth="1"/>
    <col min="6666" max="6666" width="51.44140625" style="42" customWidth="1"/>
    <col min="6667" max="6667" width="9.5546875" style="42" bestFit="1" customWidth="1"/>
    <col min="6668" max="6668" width="31" style="42" customWidth="1"/>
    <col min="6669" max="6669" width="21.44140625" style="42" customWidth="1"/>
    <col min="6670" max="6670" width="28" style="42" customWidth="1"/>
    <col min="6671" max="6671" width="0" style="42" hidden="1" customWidth="1"/>
    <col min="6672" max="6674" width="14.5546875" style="42" customWidth="1"/>
    <col min="6675" max="6675" width="23" style="42" customWidth="1"/>
    <col min="6676" max="6676" width="7.5546875" style="42" customWidth="1"/>
    <col min="6677" max="6677" width="11.44140625" style="42" customWidth="1"/>
    <col min="6678" max="6678" width="12.44140625" style="42" customWidth="1"/>
    <col min="6679" max="6679" width="16.109375" style="42" customWidth="1"/>
    <col min="6680" max="6680" width="11.44140625" style="42" bestFit="1" customWidth="1"/>
    <col min="6681" max="6920" width="9.109375" style="42"/>
    <col min="6921" max="6921" width="12.5546875" style="42" bestFit="1" customWidth="1"/>
    <col min="6922" max="6922" width="51.44140625" style="42" customWidth="1"/>
    <col min="6923" max="6923" width="9.5546875" style="42" bestFit="1" customWidth="1"/>
    <col min="6924" max="6924" width="31" style="42" customWidth="1"/>
    <col min="6925" max="6925" width="21.44140625" style="42" customWidth="1"/>
    <col min="6926" max="6926" width="28" style="42" customWidth="1"/>
    <col min="6927" max="6927" width="0" style="42" hidden="1" customWidth="1"/>
    <col min="6928" max="6930" width="14.5546875" style="42" customWidth="1"/>
    <col min="6931" max="6931" width="23" style="42" customWidth="1"/>
    <col min="6932" max="6932" width="7.5546875" style="42" customWidth="1"/>
    <col min="6933" max="6933" width="11.44140625" style="42" customWidth="1"/>
    <col min="6934" max="6934" width="12.44140625" style="42" customWidth="1"/>
    <col min="6935" max="6935" width="16.109375" style="42" customWidth="1"/>
    <col min="6936" max="6936" width="11.44140625" style="42" bestFit="1" customWidth="1"/>
    <col min="6937" max="7176" width="9.109375" style="42"/>
    <col min="7177" max="7177" width="12.5546875" style="42" bestFit="1" customWidth="1"/>
    <col min="7178" max="7178" width="51.44140625" style="42" customWidth="1"/>
    <col min="7179" max="7179" width="9.5546875" style="42" bestFit="1" customWidth="1"/>
    <col min="7180" max="7180" width="31" style="42" customWidth="1"/>
    <col min="7181" max="7181" width="21.44140625" style="42" customWidth="1"/>
    <col min="7182" max="7182" width="28" style="42" customWidth="1"/>
    <col min="7183" max="7183" width="0" style="42" hidden="1" customWidth="1"/>
    <col min="7184" max="7186" width="14.5546875" style="42" customWidth="1"/>
    <col min="7187" max="7187" width="23" style="42" customWidth="1"/>
    <col min="7188" max="7188" width="7.5546875" style="42" customWidth="1"/>
    <col min="7189" max="7189" width="11.44140625" style="42" customWidth="1"/>
    <col min="7190" max="7190" width="12.44140625" style="42" customWidth="1"/>
    <col min="7191" max="7191" width="16.109375" style="42" customWidth="1"/>
    <col min="7192" max="7192" width="11.44140625" style="42" bestFit="1" customWidth="1"/>
    <col min="7193" max="7432" width="9.109375" style="42"/>
    <col min="7433" max="7433" width="12.5546875" style="42" bestFit="1" customWidth="1"/>
    <col min="7434" max="7434" width="51.44140625" style="42" customWidth="1"/>
    <col min="7435" max="7435" width="9.5546875" style="42" bestFit="1" customWidth="1"/>
    <col min="7436" max="7436" width="31" style="42" customWidth="1"/>
    <col min="7437" max="7437" width="21.44140625" style="42" customWidth="1"/>
    <col min="7438" max="7438" width="28" style="42" customWidth="1"/>
    <col min="7439" max="7439" width="0" style="42" hidden="1" customWidth="1"/>
    <col min="7440" max="7442" width="14.5546875" style="42" customWidth="1"/>
    <col min="7443" max="7443" width="23" style="42" customWidth="1"/>
    <col min="7444" max="7444" width="7.5546875" style="42" customWidth="1"/>
    <col min="7445" max="7445" width="11.44140625" style="42" customWidth="1"/>
    <col min="7446" max="7446" width="12.44140625" style="42" customWidth="1"/>
    <col min="7447" max="7447" width="16.109375" style="42" customWidth="1"/>
    <col min="7448" max="7448" width="11.44140625" style="42" bestFit="1" customWidth="1"/>
    <col min="7449" max="7688" width="9.109375" style="42"/>
    <col min="7689" max="7689" width="12.5546875" style="42" bestFit="1" customWidth="1"/>
    <col min="7690" max="7690" width="51.44140625" style="42" customWidth="1"/>
    <col min="7691" max="7691" width="9.5546875" style="42" bestFit="1" customWidth="1"/>
    <col min="7692" max="7692" width="31" style="42" customWidth="1"/>
    <col min="7693" max="7693" width="21.44140625" style="42" customWidth="1"/>
    <col min="7694" max="7694" width="28" style="42" customWidth="1"/>
    <col min="7695" max="7695" width="0" style="42" hidden="1" customWidth="1"/>
    <col min="7696" max="7698" width="14.5546875" style="42" customWidth="1"/>
    <col min="7699" max="7699" width="23" style="42" customWidth="1"/>
    <col min="7700" max="7700" width="7.5546875" style="42" customWidth="1"/>
    <col min="7701" max="7701" width="11.44140625" style="42" customWidth="1"/>
    <col min="7702" max="7702" width="12.44140625" style="42" customWidth="1"/>
    <col min="7703" max="7703" width="16.109375" style="42" customWidth="1"/>
    <col min="7704" max="7704" width="11.44140625" style="42" bestFit="1" customWidth="1"/>
    <col min="7705" max="7944" width="9.109375" style="42"/>
    <col min="7945" max="7945" width="12.5546875" style="42" bestFit="1" customWidth="1"/>
    <col min="7946" max="7946" width="51.44140625" style="42" customWidth="1"/>
    <col min="7947" max="7947" width="9.5546875" style="42" bestFit="1" customWidth="1"/>
    <col min="7948" max="7948" width="31" style="42" customWidth="1"/>
    <col min="7949" max="7949" width="21.44140625" style="42" customWidth="1"/>
    <col min="7950" max="7950" width="28" style="42" customWidth="1"/>
    <col min="7951" max="7951" width="0" style="42" hidden="1" customWidth="1"/>
    <col min="7952" max="7954" width="14.5546875" style="42" customWidth="1"/>
    <col min="7955" max="7955" width="23" style="42" customWidth="1"/>
    <col min="7956" max="7956" width="7.5546875" style="42" customWidth="1"/>
    <col min="7957" max="7957" width="11.44140625" style="42" customWidth="1"/>
    <col min="7958" max="7958" width="12.44140625" style="42" customWidth="1"/>
    <col min="7959" max="7959" width="16.109375" style="42" customWidth="1"/>
    <col min="7960" max="7960" width="11.44140625" style="42" bestFit="1" customWidth="1"/>
    <col min="7961" max="8200" width="9.109375" style="42"/>
    <col min="8201" max="8201" width="12.5546875" style="42" bestFit="1" customWidth="1"/>
    <col min="8202" max="8202" width="51.44140625" style="42" customWidth="1"/>
    <col min="8203" max="8203" width="9.5546875" style="42" bestFit="1" customWidth="1"/>
    <col min="8204" max="8204" width="31" style="42" customWidth="1"/>
    <col min="8205" max="8205" width="21.44140625" style="42" customWidth="1"/>
    <col min="8206" max="8206" width="28" style="42" customWidth="1"/>
    <col min="8207" max="8207" width="0" style="42" hidden="1" customWidth="1"/>
    <col min="8208" max="8210" width="14.5546875" style="42" customWidth="1"/>
    <col min="8211" max="8211" width="23" style="42" customWidth="1"/>
    <col min="8212" max="8212" width="7.5546875" style="42" customWidth="1"/>
    <col min="8213" max="8213" width="11.44140625" style="42" customWidth="1"/>
    <col min="8214" max="8214" width="12.44140625" style="42" customWidth="1"/>
    <col min="8215" max="8215" width="16.109375" style="42" customWidth="1"/>
    <col min="8216" max="8216" width="11.44140625" style="42" bestFit="1" customWidth="1"/>
    <col min="8217" max="8456" width="9.109375" style="42"/>
    <col min="8457" max="8457" width="12.5546875" style="42" bestFit="1" customWidth="1"/>
    <col min="8458" max="8458" width="51.44140625" style="42" customWidth="1"/>
    <col min="8459" max="8459" width="9.5546875" style="42" bestFit="1" customWidth="1"/>
    <col min="8460" max="8460" width="31" style="42" customWidth="1"/>
    <col min="8461" max="8461" width="21.44140625" style="42" customWidth="1"/>
    <col min="8462" max="8462" width="28" style="42" customWidth="1"/>
    <col min="8463" max="8463" width="0" style="42" hidden="1" customWidth="1"/>
    <col min="8464" max="8466" width="14.5546875" style="42" customWidth="1"/>
    <col min="8467" max="8467" width="23" style="42" customWidth="1"/>
    <col min="8468" max="8468" width="7.5546875" style="42" customWidth="1"/>
    <col min="8469" max="8469" width="11.44140625" style="42" customWidth="1"/>
    <col min="8470" max="8470" width="12.44140625" style="42" customWidth="1"/>
    <col min="8471" max="8471" width="16.109375" style="42" customWidth="1"/>
    <col min="8472" max="8472" width="11.44140625" style="42" bestFit="1" customWidth="1"/>
    <col min="8473" max="8712" width="9.109375" style="42"/>
    <col min="8713" max="8713" width="12.5546875" style="42" bestFit="1" customWidth="1"/>
    <col min="8714" max="8714" width="51.44140625" style="42" customWidth="1"/>
    <col min="8715" max="8715" width="9.5546875" style="42" bestFit="1" customWidth="1"/>
    <col min="8716" max="8716" width="31" style="42" customWidth="1"/>
    <col min="8717" max="8717" width="21.44140625" style="42" customWidth="1"/>
    <col min="8718" max="8718" width="28" style="42" customWidth="1"/>
    <col min="8719" max="8719" width="0" style="42" hidden="1" customWidth="1"/>
    <col min="8720" max="8722" width="14.5546875" style="42" customWidth="1"/>
    <col min="8723" max="8723" width="23" style="42" customWidth="1"/>
    <col min="8724" max="8724" width="7.5546875" style="42" customWidth="1"/>
    <col min="8725" max="8725" width="11.44140625" style="42" customWidth="1"/>
    <col min="8726" max="8726" width="12.44140625" style="42" customWidth="1"/>
    <col min="8727" max="8727" width="16.109375" style="42" customWidth="1"/>
    <col min="8728" max="8728" width="11.44140625" style="42" bestFit="1" customWidth="1"/>
    <col min="8729" max="8968" width="9.109375" style="42"/>
    <col min="8969" max="8969" width="12.5546875" style="42" bestFit="1" customWidth="1"/>
    <col min="8970" max="8970" width="51.44140625" style="42" customWidth="1"/>
    <col min="8971" max="8971" width="9.5546875" style="42" bestFit="1" customWidth="1"/>
    <col min="8972" max="8972" width="31" style="42" customWidth="1"/>
    <col min="8973" max="8973" width="21.44140625" style="42" customWidth="1"/>
    <col min="8974" max="8974" width="28" style="42" customWidth="1"/>
    <col min="8975" max="8975" width="0" style="42" hidden="1" customWidth="1"/>
    <col min="8976" max="8978" width="14.5546875" style="42" customWidth="1"/>
    <col min="8979" max="8979" width="23" style="42" customWidth="1"/>
    <col min="8980" max="8980" width="7.5546875" style="42" customWidth="1"/>
    <col min="8981" max="8981" width="11.44140625" style="42" customWidth="1"/>
    <col min="8982" max="8982" width="12.44140625" style="42" customWidth="1"/>
    <col min="8983" max="8983" width="16.109375" style="42" customWidth="1"/>
    <col min="8984" max="8984" width="11.44140625" style="42" bestFit="1" customWidth="1"/>
    <col min="8985" max="9224" width="9.109375" style="42"/>
    <col min="9225" max="9225" width="12.5546875" style="42" bestFit="1" customWidth="1"/>
    <col min="9226" max="9226" width="51.44140625" style="42" customWidth="1"/>
    <col min="9227" max="9227" width="9.5546875" style="42" bestFit="1" customWidth="1"/>
    <col min="9228" max="9228" width="31" style="42" customWidth="1"/>
    <col min="9229" max="9229" width="21.44140625" style="42" customWidth="1"/>
    <col min="9230" max="9230" width="28" style="42" customWidth="1"/>
    <col min="9231" max="9231" width="0" style="42" hidden="1" customWidth="1"/>
    <col min="9232" max="9234" width="14.5546875" style="42" customWidth="1"/>
    <col min="9235" max="9235" width="23" style="42" customWidth="1"/>
    <col min="9236" max="9236" width="7.5546875" style="42" customWidth="1"/>
    <col min="9237" max="9237" width="11.44140625" style="42" customWidth="1"/>
    <col min="9238" max="9238" width="12.44140625" style="42" customWidth="1"/>
    <col min="9239" max="9239" width="16.109375" style="42" customWidth="1"/>
    <col min="9240" max="9240" width="11.44140625" style="42" bestFit="1" customWidth="1"/>
    <col min="9241" max="9480" width="9.109375" style="42"/>
    <col min="9481" max="9481" width="12.5546875" style="42" bestFit="1" customWidth="1"/>
    <col min="9482" max="9482" width="51.44140625" style="42" customWidth="1"/>
    <col min="9483" max="9483" width="9.5546875" style="42" bestFit="1" customWidth="1"/>
    <col min="9484" max="9484" width="31" style="42" customWidth="1"/>
    <col min="9485" max="9485" width="21.44140625" style="42" customWidth="1"/>
    <col min="9486" max="9486" width="28" style="42" customWidth="1"/>
    <col min="9487" max="9487" width="0" style="42" hidden="1" customWidth="1"/>
    <col min="9488" max="9490" width="14.5546875" style="42" customWidth="1"/>
    <col min="9491" max="9491" width="23" style="42" customWidth="1"/>
    <col min="9492" max="9492" width="7.5546875" style="42" customWidth="1"/>
    <col min="9493" max="9493" width="11.44140625" style="42" customWidth="1"/>
    <col min="9494" max="9494" width="12.44140625" style="42" customWidth="1"/>
    <col min="9495" max="9495" width="16.109375" style="42" customWidth="1"/>
    <col min="9496" max="9496" width="11.44140625" style="42" bestFit="1" customWidth="1"/>
    <col min="9497" max="9736" width="9.109375" style="42"/>
    <col min="9737" max="9737" width="12.5546875" style="42" bestFit="1" customWidth="1"/>
    <col min="9738" max="9738" width="51.44140625" style="42" customWidth="1"/>
    <col min="9739" max="9739" width="9.5546875" style="42" bestFit="1" customWidth="1"/>
    <col min="9740" max="9740" width="31" style="42" customWidth="1"/>
    <col min="9741" max="9741" width="21.44140625" style="42" customWidth="1"/>
    <col min="9742" max="9742" width="28" style="42" customWidth="1"/>
    <col min="9743" max="9743" width="0" style="42" hidden="1" customWidth="1"/>
    <col min="9744" max="9746" width="14.5546875" style="42" customWidth="1"/>
    <col min="9747" max="9747" width="23" style="42" customWidth="1"/>
    <col min="9748" max="9748" width="7.5546875" style="42" customWidth="1"/>
    <col min="9749" max="9749" width="11.44140625" style="42" customWidth="1"/>
    <col min="9750" max="9750" width="12.44140625" style="42" customWidth="1"/>
    <col min="9751" max="9751" width="16.109375" style="42" customWidth="1"/>
    <col min="9752" max="9752" width="11.44140625" style="42" bestFit="1" customWidth="1"/>
    <col min="9753" max="9992" width="9.109375" style="42"/>
    <col min="9993" max="9993" width="12.5546875" style="42" bestFit="1" customWidth="1"/>
    <col min="9994" max="9994" width="51.44140625" style="42" customWidth="1"/>
    <col min="9995" max="9995" width="9.5546875" style="42" bestFit="1" customWidth="1"/>
    <col min="9996" max="9996" width="31" style="42" customWidth="1"/>
    <col min="9997" max="9997" width="21.44140625" style="42" customWidth="1"/>
    <col min="9998" max="9998" width="28" style="42" customWidth="1"/>
    <col min="9999" max="9999" width="0" style="42" hidden="1" customWidth="1"/>
    <col min="10000" max="10002" width="14.5546875" style="42" customWidth="1"/>
    <col min="10003" max="10003" width="23" style="42" customWidth="1"/>
    <col min="10004" max="10004" width="7.5546875" style="42" customWidth="1"/>
    <col min="10005" max="10005" width="11.44140625" style="42" customWidth="1"/>
    <col min="10006" max="10006" width="12.44140625" style="42" customWidth="1"/>
    <col min="10007" max="10007" width="16.109375" style="42" customWidth="1"/>
    <col min="10008" max="10008" width="11.44140625" style="42" bestFit="1" customWidth="1"/>
    <col min="10009" max="10248" width="9.109375" style="42"/>
    <col min="10249" max="10249" width="12.5546875" style="42" bestFit="1" customWidth="1"/>
    <col min="10250" max="10250" width="51.44140625" style="42" customWidth="1"/>
    <col min="10251" max="10251" width="9.5546875" style="42" bestFit="1" customWidth="1"/>
    <col min="10252" max="10252" width="31" style="42" customWidth="1"/>
    <col min="10253" max="10253" width="21.44140625" style="42" customWidth="1"/>
    <col min="10254" max="10254" width="28" style="42" customWidth="1"/>
    <col min="10255" max="10255" width="0" style="42" hidden="1" customWidth="1"/>
    <col min="10256" max="10258" width="14.5546875" style="42" customWidth="1"/>
    <col min="10259" max="10259" width="23" style="42" customWidth="1"/>
    <col min="10260" max="10260" width="7.5546875" style="42" customWidth="1"/>
    <col min="10261" max="10261" width="11.44140625" style="42" customWidth="1"/>
    <col min="10262" max="10262" width="12.44140625" style="42" customWidth="1"/>
    <col min="10263" max="10263" width="16.109375" style="42" customWidth="1"/>
    <col min="10264" max="10264" width="11.44140625" style="42" bestFit="1" customWidth="1"/>
    <col min="10265" max="10504" width="9.109375" style="42"/>
    <col min="10505" max="10505" width="12.5546875" style="42" bestFit="1" customWidth="1"/>
    <col min="10506" max="10506" width="51.44140625" style="42" customWidth="1"/>
    <col min="10507" max="10507" width="9.5546875" style="42" bestFit="1" customWidth="1"/>
    <col min="10508" max="10508" width="31" style="42" customWidth="1"/>
    <col min="10509" max="10509" width="21.44140625" style="42" customWidth="1"/>
    <col min="10510" max="10510" width="28" style="42" customWidth="1"/>
    <col min="10511" max="10511" width="0" style="42" hidden="1" customWidth="1"/>
    <col min="10512" max="10514" width="14.5546875" style="42" customWidth="1"/>
    <col min="10515" max="10515" width="23" style="42" customWidth="1"/>
    <col min="10516" max="10516" width="7.5546875" style="42" customWidth="1"/>
    <col min="10517" max="10517" width="11.44140625" style="42" customWidth="1"/>
    <col min="10518" max="10518" width="12.44140625" style="42" customWidth="1"/>
    <col min="10519" max="10519" width="16.109375" style="42" customWidth="1"/>
    <col min="10520" max="10520" width="11.44140625" style="42" bestFit="1" customWidth="1"/>
    <col min="10521" max="10760" width="9.109375" style="42"/>
    <col min="10761" max="10761" width="12.5546875" style="42" bestFit="1" customWidth="1"/>
    <col min="10762" max="10762" width="51.44140625" style="42" customWidth="1"/>
    <col min="10763" max="10763" width="9.5546875" style="42" bestFit="1" customWidth="1"/>
    <col min="10764" max="10764" width="31" style="42" customWidth="1"/>
    <col min="10765" max="10765" width="21.44140625" style="42" customWidth="1"/>
    <col min="10766" max="10766" width="28" style="42" customWidth="1"/>
    <col min="10767" max="10767" width="0" style="42" hidden="1" customWidth="1"/>
    <col min="10768" max="10770" width="14.5546875" style="42" customWidth="1"/>
    <col min="10771" max="10771" width="23" style="42" customWidth="1"/>
    <col min="10772" max="10772" width="7.5546875" style="42" customWidth="1"/>
    <col min="10773" max="10773" width="11.44140625" style="42" customWidth="1"/>
    <col min="10774" max="10774" width="12.44140625" style="42" customWidth="1"/>
    <col min="10775" max="10775" width="16.109375" style="42" customWidth="1"/>
    <col min="10776" max="10776" width="11.44140625" style="42" bestFit="1" customWidth="1"/>
    <col min="10777" max="11016" width="9.109375" style="42"/>
    <col min="11017" max="11017" width="12.5546875" style="42" bestFit="1" customWidth="1"/>
    <col min="11018" max="11018" width="51.44140625" style="42" customWidth="1"/>
    <col min="11019" max="11019" width="9.5546875" style="42" bestFit="1" customWidth="1"/>
    <col min="11020" max="11020" width="31" style="42" customWidth="1"/>
    <col min="11021" max="11021" width="21.44140625" style="42" customWidth="1"/>
    <col min="11022" max="11022" width="28" style="42" customWidth="1"/>
    <col min="11023" max="11023" width="0" style="42" hidden="1" customWidth="1"/>
    <col min="11024" max="11026" width="14.5546875" style="42" customWidth="1"/>
    <col min="11027" max="11027" width="23" style="42" customWidth="1"/>
    <col min="11028" max="11028" width="7.5546875" style="42" customWidth="1"/>
    <col min="11029" max="11029" width="11.44140625" style="42" customWidth="1"/>
    <col min="11030" max="11030" width="12.44140625" style="42" customWidth="1"/>
    <col min="11031" max="11031" width="16.109375" style="42" customWidth="1"/>
    <col min="11032" max="11032" width="11.44140625" style="42" bestFit="1" customWidth="1"/>
    <col min="11033" max="11272" width="9.109375" style="42"/>
    <col min="11273" max="11273" width="12.5546875" style="42" bestFit="1" customWidth="1"/>
    <col min="11274" max="11274" width="51.44140625" style="42" customWidth="1"/>
    <col min="11275" max="11275" width="9.5546875" style="42" bestFit="1" customWidth="1"/>
    <col min="11276" max="11276" width="31" style="42" customWidth="1"/>
    <col min="11277" max="11277" width="21.44140625" style="42" customWidth="1"/>
    <col min="11278" max="11278" width="28" style="42" customWidth="1"/>
    <col min="11279" max="11279" width="0" style="42" hidden="1" customWidth="1"/>
    <col min="11280" max="11282" width="14.5546875" style="42" customWidth="1"/>
    <col min="11283" max="11283" width="23" style="42" customWidth="1"/>
    <col min="11284" max="11284" width="7.5546875" style="42" customWidth="1"/>
    <col min="11285" max="11285" width="11.44140625" style="42" customWidth="1"/>
    <col min="11286" max="11286" width="12.44140625" style="42" customWidth="1"/>
    <col min="11287" max="11287" width="16.109375" style="42" customWidth="1"/>
    <col min="11288" max="11288" width="11.44140625" style="42" bestFit="1" customWidth="1"/>
    <col min="11289" max="11528" width="9.109375" style="42"/>
    <col min="11529" max="11529" width="12.5546875" style="42" bestFit="1" customWidth="1"/>
    <col min="11530" max="11530" width="51.44140625" style="42" customWidth="1"/>
    <col min="11531" max="11531" width="9.5546875" style="42" bestFit="1" customWidth="1"/>
    <col min="11532" max="11532" width="31" style="42" customWidth="1"/>
    <col min="11533" max="11533" width="21.44140625" style="42" customWidth="1"/>
    <col min="11534" max="11534" width="28" style="42" customWidth="1"/>
    <col min="11535" max="11535" width="0" style="42" hidden="1" customWidth="1"/>
    <col min="11536" max="11538" width="14.5546875" style="42" customWidth="1"/>
    <col min="11539" max="11539" width="23" style="42" customWidth="1"/>
    <col min="11540" max="11540" width="7.5546875" style="42" customWidth="1"/>
    <col min="11541" max="11541" width="11.44140625" style="42" customWidth="1"/>
    <col min="11542" max="11542" width="12.44140625" style="42" customWidth="1"/>
    <col min="11543" max="11543" width="16.109375" style="42" customWidth="1"/>
    <col min="11544" max="11544" width="11.44140625" style="42" bestFit="1" customWidth="1"/>
    <col min="11545" max="11784" width="9.109375" style="42"/>
    <col min="11785" max="11785" width="12.5546875" style="42" bestFit="1" customWidth="1"/>
    <col min="11786" max="11786" width="51.44140625" style="42" customWidth="1"/>
    <col min="11787" max="11787" width="9.5546875" style="42" bestFit="1" customWidth="1"/>
    <col min="11788" max="11788" width="31" style="42" customWidth="1"/>
    <col min="11789" max="11789" width="21.44140625" style="42" customWidth="1"/>
    <col min="11790" max="11790" width="28" style="42" customWidth="1"/>
    <col min="11791" max="11791" width="0" style="42" hidden="1" customWidth="1"/>
    <col min="11792" max="11794" width="14.5546875" style="42" customWidth="1"/>
    <col min="11795" max="11795" width="23" style="42" customWidth="1"/>
    <col min="11796" max="11796" width="7.5546875" style="42" customWidth="1"/>
    <col min="11797" max="11797" width="11.44140625" style="42" customWidth="1"/>
    <col min="11798" max="11798" width="12.44140625" style="42" customWidth="1"/>
    <col min="11799" max="11799" width="16.109375" style="42" customWidth="1"/>
    <col min="11800" max="11800" width="11.44140625" style="42" bestFit="1" customWidth="1"/>
    <col min="11801" max="12040" width="9.109375" style="42"/>
    <col min="12041" max="12041" width="12.5546875" style="42" bestFit="1" customWidth="1"/>
    <col min="12042" max="12042" width="51.44140625" style="42" customWidth="1"/>
    <col min="12043" max="12043" width="9.5546875" style="42" bestFit="1" customWidth="1"/>
    <col min="12044" max="12044" width="31" style="42" customWidth="1"/>
    <col min="12045" max="12045" width="21.44140625" style="42" customWidth="1"/>
    <col min="12046" max="12046" width="28" style="42" customWidth="1"/>
    <col min="12047" max="12047" width="0" style="42" hidden="1" customWidth="1"/>
    <col min="12048" max="12050" width="14.5546875" style="42" customWidth="1"/>
    <col min="12051" max="12051" width="23" style="42" customWidth="1"/>
    <col min="12052" max="12052" width="7.5546875" style="42" customWidth="1"/>
    <col min="12053" max="12053" width="11.44140625" style="42" customWidth="1"/>
    <col min="12054" max="12054" width="12.44140625" style="42" customWidth="1"/>
    <col min="12055" max="12055" width="16.109375" style="42" customWidth="1"/>
    <col min="12056" max="12056" width="11.44140625" style="42" bestFit="1" customWidth="1"/>
    <col min="12057" max="12296" width="9.109375" style="42"/>
    <col min="12297" max="12297" width="12.5546875" style="42" bestFit="1" customWidth="1"/>
    <col min="12298" max="12298" width="51.44140625" style="42" customWidth="1"/>
    <col min="12299" max="12299" width="9.5546875" style="42" bestFit="1" customWidth="1"/>
    <col min="12300" max="12300" width="31" style="42" customWidth="1"/>
    <col min="12301" max="12301" width="21.44140625" style="42" customWidth="1"/>
    <col min="12302" max="12302" width="28" style="42" customWidth="1"/>
    <col min="12303" max="12303" width="0" style="42" hidden="1" customWidth="1"/>
    <col min="12304" max="12306" width="14.5546875" style="42" customWidth="1"/>
    <col min="12307" max="12307" width="23" style="42" customWidth="1"/>
    <col min="12308" max="12308" width="7.5546875" style="42" customWidth="1"/>
    <col min="12309" max="12309" width="11.44140625" style="42" customWidth="1"/>
    <col min="12310" max="12310" width="12.44140625" style="42" customWidth="1"/>
    <col min="12311" max="12311" width="16.109375" style="42" customWidth="1"/>
    <col min="12312" max="12312" width="11.44140625" style="42" bestFit="1" customWidth="1"/>
    <col min="12313" max="12552" width="9.109375" style="42"/>
    <col min="12553" max="12553" width="12.5546875" style="42" bestFit="1" customWidth="1"/>
    <col min="12554" max="12554" width="51.44140625" style="42" customWidth="1"/>
    <col min="12555" max="12555" width="9.5546875" style="42" bestFit="1" customWidth="1"/>
    <col min="12556" max="12556" width="31" style="42" customWidth="1"/>
    <col min="12557" max="12557" width="21.44140625" style="42" customWidth="1"/>
    <col min="12558" max="12558" width="28" style="42" customWidth="1"/>
    <col min="12559" max="12559" width="0" style="42" hidden="1" customWidth="1"/>
    <col min="12560" max="12562" width="14.5546875" style="42" customWidth="1"/>
    <col min="12563" max="12563" width="23" style="42" customWidth="1"/>
    <col min="12564" max="12564" width="7.5546875" style="42" customWidth="1"/>
    <col min="12565" max="12565" width="11.44140625" style="42" customWidth="1"/>
    <col min="12566" max="12566" width="12.44140625" style="42" customWidth="1"/>
    <col min="12567" max="12567" width="16.109375" style="42" customWidth="1"/>
    <col min="12568" max="12568" width="11.44140625" style="42" bestFit="1" customWidth="1"/>
    <col min="12569" max="12808" width="9.109375" style="42"/>
    <col min="12809" max="12809" width="12.5546875" style="42" bestFit="1" customWidth="1"/>
    <col min="12810" max="12810" width="51.44140625" style="42" customWidth="1"/>
    <col min="12811" max="12811" width="9.5546875" style="42" bestFit="1" customWidth="1"/>
    <col min="12812" max="12812" width="31" style="42" customWidth="1"/>
    <col min="12813" max="12813" width="21.44140625" style="42" customWidth="1"/>
    <col min="12814" max="12814" width="28" style="42" customWidth="1"/>
    <col min="12815" max="12815" width="0" style="42" hidden="1" customWidth="1"/>
    <col min="12816" max="12818" width="14.5546875" style="42" customWidth="1"/>
    <col min="12819" max="12819" width="23" style="42" customWidth="1"/>
    <col min="12820" max="12820" width="7.5546875" style="42" customWidth="1"/>
    <col min="12821" max="12821" width="11.44140625" style="42" customWidth="1"/>
    <col min="12822" max="12822" width="12.44140625" style="42" customWidth="1"/>
    <col min="12823" max="12823" width="16.109375" style="42" customWidth="1"/>
    <col min="12824" max="12824" width="11.44140625" style="42" bestFit="1" customWidth="1"/>
    <col min="12825" max="13064" width="9.109375" style="42"/>
    <col min="13065" max="13065" width="12.5546875" style="42" bestFit="1" customWidth="1"/>
    <col min="13066" max="13066" width="51.44140625" style="42" customWidth="1"/>
    <col min="13067" max="13067" width="9.5546875" style="42" bestFit="1" customWidth="1"/>
    <col min="13068" max="13068" width="31" style="42" customWidth="1"/>
    <col min="13069" max="13069" width="21.44140625" style="42" customWidth="1"/>
    <col min="13070" max="13070" width="28" style="42" customWidth="1"/>
    <col min="13071" max="13071" width="0" style="42" hidden="1" customWidth="1"/>
    <col min="13072" max="13074" width="14.5546875" style="42" customWidth="1"/>
    <col min="13075" max="13075" width="23" style="42" customWidth="1"/>
    <col min="13076" max="13076" width="7.5546875" style="42" customWidth="1"/>
    <col min="13077" max="13077" width="11.44140625" style="42" customWidth="1"/>
    <col min="13078" max="13078" width="12.44140625" style="42" customWidth="1"/>
    <col min="13079" max="13079" width="16.109375" style="42" customWidth="1"/>
    <col min="13080" max="13080" width="11.44140625" style="42" bestFit="1" customWidth="1"/>
    <col min="13081" max="13320" width="9.109375" style="42"/>
    <col min="13321" max="13321" width="12.5546875" style="42" bestFit="1" customWidth="1"/>
    <col min="13322" max="13322" width="51.44140625" style="42" customWidth="1"/>
    <col min="13323" max="13323" width="9.5546875" style="42" bestFit="1" customWidth="1"/>
    <col min="13324" max="13324" width="31" style="42" customWidth="1"/>
    <col min="13325" max="13325" width="21.44140625" style="42" customWidth="1"/>
    <col min="13326" max="13326" width="28" style="42" customWidth="1"/>
    <col min="13327" max="13327" width="0" style="42" hidden="1" customWidth="1"/>
    <col min="13328" max="13330" width="14.5546875" style="42" customWidth="1"/>
    <col min="13331" max="13331" width="23" style="42" customWidth="1"/>
    <col min="13332" max="13332" width="7.5546875" style="42" customWidth="1"/>
    <col min="13333" max="13333" width="11.44140625" style="42" customWidth="1"/>
    <col min="13334" max="13334" width="12.44140625" style="42" customWidth="1"/>
    <col min="13335" max="13335" width="16.109375" style="42" customWidth="1"/>
    <col min="13336" max="13336" width="11.44140625" style="42" bestFit="1" customWidth="1"/>
    <col min="13337" max="13576" width="9.109375" style="42"/>
    <col min="13577" max="13577" width="12.5546875" style="42" bestFit="1" customWidth="1"/>
    <col min="13578" max="13578" width="51.44140625" style="42" customWidth="1"/>
    <col min="13579" max="13579" width="9.5546875" style="42" bestFit="1" customWidth="1"/>
    <col min="13580" max="13580" width="31" style="42" customWidth="1"/>
    <col min="13581" max="13581" width="21.44140625" style="42" customWidth="1"/>
    <col min="13582" max="13582" width="28" style="42" customWidth="1"/>
    <col min="13583" max="13583" width="0" style="42" hidden="1" customWidth="1"/>
    <col min="13584" max="13586" width="14.5546875" style="42" customWidth="1"/>
    <col min="13587" max="13587" width="23" style="42" customWidth="1"/>
    <col min="13588" max="13588" width="7.5546875" style="42" customWidth="1"/>
    <col min="13589" max="13589" width="11.44140625" style="42" customWidth="1"/>
    <col min="13590" max="13590" width="12.44140625" style="42" customWidth="1"/>
    <col min="13591" max="13591" width="16.109375" style="42" customWidth="1"/>
    <col min="13592" max="13592" width="11.44140625" style="42" bestFit="1" customWidth="1"/>
    <col min="13593" max="13832" width="9.109375" style="42"/>
    <col min="13833" max="13833" width="12.5546875" style="42" bestFit="1" customWidth="1"/>
    <col min="13834" max="13834" width="51.44140625" style="42" customWidth="1"/>
    <col min="13835" max="13835" width="9.5546875" style="42" bestFit="1" customWidth="1"/>
    <col min="13836" max="13836" width="31" style="42" customWidth="1"/>
    <col min="13837" max="13837" width="21.44140625" style="42" customWidth="1"/>
    <col min="13838" max="13838" width="28" style="42" customWidth="1"/>
    <col min="13839" max="13839" width="0" style="42" hidden="1" customWidth="1"/>
    <col min="13840" max="13842" width="14.5546875" style="42" customWidth="1"/>
    <col min="13843" max="13843" width="23" style="42" customWidth="1"/>
    <col min="13844" max="13844" width="7.5546875" style="42" customWidth="1"/>
    <col min="13845" max="13845" width="11.44140625" style="42" customWidth="1"/>
    <col min="13846" max="13846" width="12.44140625" style="42" customWidth="1"/>
    <col min="13847" max="13847" width="16.109375" style="42" customWidth="1"/>
    <col min="13848" max="13848" width="11.44140625" style="42" bestFit="1" customWidth="1"/>
    <col min="13849" max="14088" width="9.109375" style="42"/>
    <col min="14089" max="14089" width="12.5546875" style="42" bestFit="1" customWidth="1"/>
    <col min="14090" max="14090" width="51.44140625" style="42" customWidth="1"/>
    <col min="14091" max="14091" width="9.5546875" style="42" bestFit="1" customWidth="1"/>
    <col min="14092" max="14092" width="31" style="42" customWidth="1"/>
    <col min="14093" max="14093" width="21.44140625" style="42" customWidth="1"/>
    <col min="14094" max="14094" width="28" style="42" customWidth="1"/>
    <col min="14095" max="14095" width="0" style="42" hidden="1" customWidth="1"/>
    <col min="14096" max="14098" width="14.5546875" style="42" customWidth="1"/>
    <col min="14099" max="14099" width="23" style="42" customWidth="1"/>
    <col min="14100" max="14100" width="7.5546875" style="42" customWidth="1"/>
    <col min="14101" max="14101" width="11.44140625" style="42" customWidth="1"/>
    <col min="14102" max="14102" width="12.44140625" style="42" customWidth="1"/>
    <col min="14103" max="14103" width="16.109375" style="42" customWidth="1"/>
    <col min="14104" max="14104" width="11.44140625" style="42" bestFit="1" customWidth="1"/>
    <col min="14105" max="14344" width="9.109375" style="42"/>
    <col min="14345" max="14345" width="12.5546875" style="42" bestFit="1" customWidth="1"/>
    <col min="14346" max="14346" width="51.44140625" style="42" customWidth="1"/>
    <col min="14347" max="14347" width="9.5546875" style="42" bestFit="1" customWidth="1"/>
    <col min="14348" max="14348" width="31" style="42" customWidth="1"/>
    <col min="14349" max="14349" width="21.44140625" style="42" customWidth="1"/>
    <col min="14350" max="14350" width="28" style="42" customWidth="1"/>
    <col min="14351" max="14351" width="0" style="42" hidden="1" customWidth="1"/>
    <col min="14352" max="14354" width="14.5546875" style="42" customWidth="1"/>
    <col min="14355" max="14355" width="23" style="42" customWidth="1"/>
    <col min="14356" max="14356" width="7.5546875" style="42" customWidth="1"/>
    <col min="14357" max="14357" width="11.44140625" style="42" customWidth="1"/>
    <col min="14358" max="14358" width="12.44140625" style="42" customWidth="1"/>
    <col min="14359" max="14359" width="16.109375" style="42" customWidth="1"/>
    <col min="14360" max="14360" width="11.44140625" style="42" bestFit="1" customWidth="1"/>
    <col min="14361" max="14600" width="9.109375" style="42"/>
    <col min="14601" max="14601" width="12.5546875" style="42" bestFit="1" customWidth="1"/>
    <col min="14602" max="14602" width="51.44140625" style="42" customWidth="1"/>
    <col min="14603" max="14603" width="9.5546875" style="42" bestFit="1" customWidth="1"/>
    <col min="14604" max="14604" width="31" style="42" customWidth="1"/>
    <col min="14605" max="14605" width="21.44140625" style="42" customWidth="1"/>
    <col min="14606" max="14606" width="28" style="42" customWidth="1"/>
    <col min="14607" max="14607" width="0" style="42" hidden="1" customWidth="1"/>
    <col min="14608" max="14610" width="14.5546875" style="42" customWidth="1"/>
    <col min="14611" max="14611" width="23" style="42" customWidth="1"/>
    <col min="14612" max="14612" width="7.5546875" style="42" customWidth="1"/>
    <col min="14613" max="14613" width="11.44140625" style="42" customWidth="1"/>
    <col min="14614" max="14614" width="12.44140625" style="42" customWidth="1"/>
    <col min="14615" max="14615" width="16.109375" style="42" customWidth="1"/>
    <col min="14616" max="14616" width="11.44140625" style="42" bestFit="1" customWidth="1"/>
    <col min="14617" max="14856" width="9.109375" style="42"/>
    <col min="14857" max="14857" width="12.5546875" style="42" bestFit="1" customWidth="1"/>
    <col min="14858" max="14858" width="51.44140625" style="42" customWidth="1"/>
    <col min="14859" max="14859" width="9.5546875" style="42" bestFit="1" customWidth="1"/>
    <col min="14860" max="14860" width="31" style="42" customWidth="1"/>
    <col min="14861" max="14861" width="21.44140625" style="42" customWidth="1"/>
    <col min="14862" max="14862" width="28" style="42" customWidth="1"/>
    <col min="14863" max="14863" width="0" style="42" hidden="1" customWidth="1"/>
    <col min="14864" max="14866" width="14.5546875" style="42" customWidth="1"/>
    <col min="14867" max="14867" width="23" style="42" customWidth="1"/>
    <col min="14868" max="14868" width="7.5546875" style="42" customWidth="1"/>
    <col min="14869" max="14869" width="11.44140625" style="42" customWidth="1"/>
    <col min="14870" max="14870" width="12.44140625" style="42" customWidth="1"/>
    <col min="14871" max="14871" width="16.109375" style="42" customWidth="1"/>
    <col min="14872" max="14872" width="11.44140625" style="42" bestFit="1" customWidth="1"/>
    <col min="14873" max="15112" width="9.109375" style="42"/>
    <col min="15113" max="15113" width="12.5546875" style="42" bestFit="1" customWidth="1"/>
    <col min="15114" max="15114" width="51.44140625" style="42" customWidth="1"/>
    <col min="15115" max="15115" width="9.5546875" style="42" bestFit="1" customWidth="1"/>
    <col min="15116" max="15116" width="31" style="42" customWidth="1"/>
    <col min="15117" max="15117" width="21.44140625" style="42" customWidth="1"/>
    <col min="15118" max="15118" width="28" style="42" customWidth="1"/>
    <col min="15119" max="15119" width="0" style="42" hidden="1" customWidth="1"/>
    <col min="15120" max="15122" width="14.5546875" style="42" customWidth="1"/>
    <col min="15123" max="15123" width="23" style="42" customWidth="1"/>
    <col min="15124" max="15124" width="7.5546875" style="42" customWidth="1"/>
    <col min="15125" max="15125" width="11.44140625" style="42" customWidth="1"/>
    <col min="15126" max="15126" width="12.44140625" style="42" customWidth="1"/>
    <col min="15127" max="15127" width="16.109375" style="42" customWidth="1"/>
    <col min="15128" max="15128" width="11.44140625" style="42" bestFit="1" customWidth="1"/>
    <col min="15129" max="15368" width="9.109375" style="42"/>
    <col min="15369" max="15369" width="12.5546875" style="42" bestFit="1" customWidth="1"/>
    <col min="15370" max="15370" width="51.44140625" style="42" customWidth="1"/>
    <col min="15371" max="15371" width="9.5546875" style="42" bestFit="1" customWidth="1"/>
    <col min="15372" max="15372" width="31" style="42" customWidth="1"/>
    <col min="15373" max="15373" width="21.44140625" style="42" customWidth="1"/>
    <col min="15374" max="15374" width="28" style="42" customWidth="1"/>
    <col min="15375" max="15375" width="0" style="42" hidden="1" customWidth="1"/>
    <col min="15376" max="15378" width="14.5546875" style="42" customWidth="1"/>
    <col min="15379" max="15379" width="23" style="42" customWidth="1"/>
    <col min="15380" max="15380" width="7.5546875" style="42" customWidth="1"/>
    <col min="15381" max="15381" width="11.44140625" style="42" customWidth="1"/>
    <col min="15382" max="15382" width="12.44140625" style="42" customWidth="1"/>
    <col min="15383" max="15383" width="16.109375" style="42" customWidth="1"/>
    <col min="15384" max="15384" width="11.44140625" style="42" bestFit="1" customWidth="1"/>
    <col min="15385" max="15624" width="9.109375" style="42"/>
    <col min="15625" max="15625" width="12.5546875" style="42" bestFit="1" customWidth="1"/>
    <col min="15626" max="15626" width="51.44140625" style="42" customWidth="1"/>
    <col min="15627" max="15627" width="9.5546875" style="42" bestFit="1" customWidth="1"/>
    <col min="15628" max="15628" width="31" style="42" customWidth="1"/>
    <col min="15629" max="15629" width="21.44140625" style="42" customWidth="1"/>
    <col min="15630" max="15630" width="28" style="42" customWidth="1"/>
    <col min="15631" max="15631" width="0" style="42" hidden="1" customWidth="1"/>
    <col min="15632" max="15634" width="14.5546875" style="42" customWidth="1"/>
    <col min="15635" max="15635" width="23" style="42" customWidth="1"/>
    <col min="15636" max="15636" width="7.5546875" style="42" customWidth="1"/>
    <col min="15637" max="15637" width="11.44140625" style="42" customWidth="1"/>
    <col min="15638" max="15638" width="12.44140625" style="42" customWidth="1"/>
    <col min="15639" max="15639" width="16.109375" style="42" customWidth="1"/>
    <col min="15640" max="15640" width="11.44140625" style="42" bestFit="1" customWidth="1"/>
    <col min="15641" max="15880" width="9.109375" style="42"/>
    <col min="15881" max="15881" width="12.5546875" style="42" bestFit="1" customWidth="1"/>
    <col min="15882" max="15882" width="51.44140625" style="42" customWidth="1"/>
    <col min="15883" max="15883" width="9.5546875" style="42" bestFit="1" customWidth="1"/>
    <col min="15884" max="15884" width="31" style="42" customWidth="1"/>
    <col min="15885" max="15885" width="21.44140625" style="42" customWidth="1"/>
    <col min="15886" max="15886" width="28" style="42" customWidth="1"/>
    <col min="15887" max="15887" width="0" style="42" hidden="1" customWidth="1"/>
    <col min="15888" max="15890" width="14.5546875" style="42" customWidth="1"/>
    <col min="15891" max="15891" width="23" style="42" customWidth="1"/>
    <col min="15892" max="15892" width="7.5546875" style="42" customWidth="1"/>
    <col min="15893" max="15893" width="11.44140625" style="42" customWidth="1"/>
    <col min="15894" max="15894" width="12.44140625" style="42" customWidth="1"/>
    <col min="15895" max="15895" width="16.109375" style="42" customWidth="1"/>
    <col min="15896" max="15896" width="11.44140625" style="42" bestFit="1" customWidth="1"/>
    <col min="15897" max="16136" width="9.109375" style="42"/>
    <col min="16137" max="16137" width="12.5546875" style="42" bestFit="1" customWidth="1"/>
    <col min="16138" max="16138" width="51.44140625" style="42" customWidth="1"/>
    <col min="16139" max="16139" width="9.5546875" style="42" bestFit="1" customWidth="1"/>
    <col min="16140" max="16140" width="31" style="42" customWidth="1"/>
    <col min="16141" max="16141" width="21.44140625" style="42" customWidth="1"/>
    <col min="16142" max="16142" width="28" style="42" customWidth="1"/>
    <col min="16143" max="16143" width="0" style="42" hidden="1" customWidth="1"/>
    <col min="16144" max="16146" width="14.5546875" style="42" customWidth="1"/>
    <col min="16147" max="16147" width="23" style="42" customWidth="1"/>
    <col min="16148" max="16148" width="7.5546875" style="42" customWidth="1"/>
    <col min="16149" max="16149" width="11.44140625" style="42" customWidth="1"/>
    <col min="16150" max="16150" width="12.44140625" style="42" customWidth="1"/>
    <col min="16151" max="16151" width="16.109375" style="42" customWidth="1"/>
    <col min="16152" max="16152" width="11.44140625" style="42" bestFit="1" customWidth="1"/>
    <col min="16153" max="16384" width="9.109375" style="42"/>
  </cols>
  <sheetData>
    <row r="1" spans="1:22" ht="6.75" customHeight="1" x14ac:dyDescent="0.55000000000000004">
      <c r="A1" s="103"/>
      <c r="B1" s="103"/>
      <c r="C1" s="103"/>
      <c r="D1" s="104"/>
      <c r="E1" s="103"/>
      <c r="F1" s="103"/>
      <c r="G1" s="103"/>
      <c r="H1" s="103"/>
      <c r="I1" s="105"/>
      <c r="J1" s="105"/>
      <c r="K1" s="106"/>
      <c r="L1" s="106"/>
      <c r="M1" s="106"/>
      <c r="N1" s="106"/>
      <c r="O1" s="106"/>
      <c r="P1" s="106"/>
      <c r="Q1" s="106"/>
      <c r="R1" s="106"/>
      <c r="S1" s="98"/>
      <c r="T1" s="314"/>
      <c r="U1" s="43"/>
      <c r="V1" s="43"/>
    </row>
    <row r="2" spans="1:22" ht="42" customHeight="1" x14ac:dyDescent="0.5">
      <c r="A2" s="340" t="s">
        <v>515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144"/>
      <c r="S2" s="98"/>
      <c r="T2" s="314"/>
    </row>
    <row r="3" spans="1:22" ht="22.8" customHeight="1" x14ac:dyDescent="0.25">
      <c r="A3" s="341" t="s">
        <v>516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145"/>
      <c r="S3" s="84"/>
      <c r="T3" s="314"/>
    </row>
    <row r="4" spans="1:22" ht="28.2" x14ac:dyDescent="0.5">
      <c r="A4" s="342" t="s">
        <v>525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146"/>
      <c r="S4" s="100"/>
      <c r="T4" s="314"/>
    </row>
    <row r="5" spans="1:22" ht="61.2" customHeight="1" x14ac:dyDescent="0.25">
      <c r="A5" s="343" t="s">
        <v>322</v>
      </c>
      <c r="B5" s="338" t="s">
        <v>323</v>
      </c>
      <c r="C5" s="335" t="s">
        <v>324</v>
      </c>
      <c r="D5" s="336" t="s">
        <v>325</v>
      </c>
      <c r="E5" s="344" t="s">
        <v>501</v>
      </c>
      <c r="F5" s="344" t="s">
        <v>502</v>
      </c>
      <c r="G5" s="344" t="s">
        <v>503</v>
      </c>
      <c r="H5" s="344" t="s">
        <v>504</v>
      </c>
      <c r="I5" s="338" t="s">
        <v>326</v>
      </c>
      <c r="J5" s="107"/>
      <c r="K5" s="345" t="s">
        <v>327</v>
      </c>
      <c r="L5" s="346"/>
      <c r="M5" s="346"/>
      <c r="N5" s="346"/>
      <c r="O5" s="346"/>
      <c r="P5" s="346"/>
      <c r="Q5" s="346"/>
      <c r="R5" s="346"/>
      <c r="S5" s="347"/>
      <c r="T5" s="314"/>
    </row>
    <row r="6" spans="1:22" ht="21.15" customHeight="1" x14ac:dyDescent="0.25">
      <c r="A6" s="343"/>
      <c r="B6" s="338"/>
      <c r="C6" s="335"/>
      <c r="D6" s="337"/>
      <c r="E6" s="344"/>
      <c r="F6" s="344"/>
      <c r="G6" s="344"/>
      <c r="H6" s="344"/>
      <c r="I6" s="337"/>
      <c r="J6" s="108"/>
      <c r="K6" s="284" t="s">
        <v>328</v>
      </c>
      <c r="L6" s="285"/>
      <c r="M6" s="284" t="s">
        <v>329</v>
      </c>
      <c r="N6" s="285"/>
      <c r="O6" s="284" t="s">
        <v>330</v>
      </c>
      <c r="P6" s="285"/>
      <c r="Q6" s="284" t="s">
        <v>331</v>
      </c>
      <c r="R6" s="285"/>
      <c r="S6" s="293" t="s">
        <v>506</v>
      </c>
      <c r="T6" s="314"/>
    </row>
    <row r="7" spans="1:22" ht="21.15" customHeight="1" x14ac:dyDescent="0.25">
      <c r="A7" s="109"/>
      <c r="B7" s="108"/>
      <c r="C7" s="107"/>
      <c r="D7" s="110"/>
      <c r="E7" s="344"/>
      <c r="F7" s="344"/>
      <c r="G7" s="344"/>
      <c r="H7" s="344"/>
      <c r="I7" s="110"/>
      <c r="J7" s="108"/>
      <c r="K7" s="108" t="s">
        <v>16</v>
      </c>
      <c r="L7" s="108" t="s">
        <v>17</v>
      </c>
      <c r="M7" s="108" t="s">
        <v>16</v>
      </c>
      <c r="N7" s="108" t="s">
        <v>17</v>
      </c>
      <c r="O7" s="108" t="s">
        <v>16</v>
      </c>
      <c r="P7" s="108" t="s">
        <v>17</v>
      </c>
      <c r="Q7" s="108" t="s">
        <v>16</v>
      </c>
      <c r="R7" s="108" t="s">
        <v>17</v>
      </c>
      <c r="S7" s="294"/>
      <c r="T7" s="314"/>
    </row>
    <row r="8" spans="1:22" ht="15.6" x14ac:dyDescent="0.25">
      <c r="A8" s="59">
        <v>1</v>
      </c>
      <c r="B8" s="91">
        <v>2</v>
      </c>
      <c r="C8" s="91">
        <v>3</v>
      </c>
      <c r="D8" s="91">
        <v>4</v>
      </c>
      <c r="E8" s="344"/>
      <c r="F8" s="344"/>
      <c r="G8" s="344"/>
      <c r="H8" s="344"/>
      <c r="I8" s="91">
        <v>8</v>
      </c>
      <c r="J8" s="91">
        <v>10</v>
      </c>
      <c r="K8" s="91">
        <v>9</v>
      </c>
      <c r="L8" s="91">
        <v>10</v>
      </c>
      <c r="M8" s="91">
        <v>11</v>
      </c>
      <c r="N8" s="91"/>
      <c r="O8" s="91">
        <v>12</v>
      </c>
      <c r="P8" s="91"/>
      <c r="Q8" s="91">
        <v>13</v>
      </c>
      <c r="R8" s="91"/>
      <c r="S8" s="294"/>
      <c r="T8" s="314"/>
    </row>
    <row r="9" spans="1:22" s="92" customFormat="1" ht="38.25" customHeight="1" x14ac:dyDescent="0.25">
      <c r="A9" s="111" t="s">
        <v>36</v>
      </c>
      <c r="B9" s="112" t="s">
        <v>332</v>
      </c>
      <c r="C9" s="91"/>
      <c r="D9" s="91"/>
      <c r="E9" s="91"/>
      <c r="F9" s="91"/>
      <c r="G9" s="91"/>
      <c r="H9" s="91"/>
      <c r="I9" s="91"/>
      <c r="J9" s="91"/>
      <c r="K9" s="81">
        <f>K11+K12+K13+K15+K18+K19+K20+K22+K25+K26+K29+K35+K36+K37+K38+K40+K42+K44+K45+K46+K48+K50+K56+K57+K58+K60+K62+K63+K64+K31+K32+K33</f>
        <v>4611888.199</v>
      </c>
      <c r="L9" s="81">
        <f>L11+L12+L13+L15+L18+L19+L20+L22+L25+L26+L29+L35+L36+L37+L38+L40+L42+L44+L45+L46+L48+L50+L56+L57+L58+L60+L62+L63+L64+L31+L32+L33</f>
        <v>4611887.4989999998</v>
      </c>
      <c r="M9" s="81">
        <f>M11+M12+M13+M15+M16+M17+M18+M19+M20+M22+M23+M24+M25+M26+M27+M28+M29+M31+M32+M33+M35+M36+M37+M38+M40+M41+M42+M44+M45+M46+M47+M48+M50+M51+M52+M53+M54+M55+M56+M57+M58+M60+M62+M63+M64</f>
        <v>3858868.8999999994</v>
      </c>
      <c r="N9" s="81"/>
      <c r="O9" s="81">
        <f>O11+O12+O13+O15+O16+O17+O18+O19+O20+O22+O23+O24+O25+O26+O27+O28+O29+O31+O32+O33+O35+O36+O37+O38+O40+O41+O42+O44+O45+O46+O47+O48+O50+O51+O52+O53+O54+O55+O56+O57+O58+O60+O62+O63+O64</f>
        <v>3300428.0000000005</v>
      </c>
      <c r="P9" s="81"/>
      <c r="Q9" s="81">
        <f>Q11+Q12+Q13+Q15+Q16+Q17+Q18+Q19+Q20+Q22+Q23+Q24+Q25+Q26+Q27+Q28+Q29+Q31+Q32+Q33+Q35+Q36+Q37+Q38+Q40+Q41+Q42+Q44+Q45+Q46+Q47+Q48+Q50+Q51+Q52+Q53+Q54+Q55+Q56+Q57+Q58+Q60+Q62+Q63+Q64</f>
        <v>3245583.4000000008</v>
      </c>
      <c r="R9" s="81"/>
      <c r="S9" s="295"/>
      <c r="T9" s="314"/>
    </row>
    <row r="10" spans="1:22" s="48" customFormat="1" ht="67.5" customHeight="1" x14ac:dyDescent="0.25">
      <c r="A10" s="59" t="s">
        <v>268</v>
      </c>
      <c r="B10" s="113" t="s">
        <v>333</v>
      </c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8"/>
      <c r="T10" s="339"/>
    </row>
    <row r="11" spans="1:22" s="48" customFormat="1" ht="108" customHeight="1" x14ac:dyDescent="0.25">
      <c r="A11" s="59" t="s">
        <v>334</v>
      </c>
      <c r="B11" s="88" t="s">
        <v>37</v>
      </c>
      <c r="C11" s="91">
        <v>1</v>
      </c>
      <c r="D11" s="88" t="s">
        <v>335</v>
      </c>
      <c r="E11" s="56">
        <v>43101</v>
      </c>
      <c r="F11" s="56">
        <v>43463</v>
      </c>
      <c r="G11" s="56">
        <v>43101</v>
      </c>
      <c r="H11" s="56">
        <v>43188</v>
      </c>
      <c r="I11" s="59" t="s">
        <v>38</v>
      </c>
      <c r="J11" s="81">
        <v>3044.2</v>
      </c>
      <c r="K11" s="81">
        <v>76659.955000000002</v>
      </c>
      <c r="L11" s="81">
        <v>76659.955000000002</v>
      </c>
      <c r="M11" s="81">
        <v>78591.8</v>
      </c>
      <c r="N11" s="81"/>
      <c r="O11" s="81">
        <v>79468.3</v>
      </c>
      <c r="P11" s="81"/>
      <c r="Q11" s="81">
        <f>56679.6+795.7-32.5-0.1</f>
        <v>57442.7</v>
      </c>
      <c r="R11" s="81"/>
      <c r="S11" s="132"/>
      <c r="T11" s="313">
        <v>2</v>
      </c>
    </row>
    <row r="12" spans="1:22" s="48" customFormat="1" ht="103.5" customHeight="1" x14ac:dyDescent="0.25">
      <c r="A12" s="59" t="s">
        <v>336</v>
      </c>
      <c r="B12" s="88" t="s">
        <v>39</v>
      </c>
      <c r="C12" s="91">
        <v>1</v>
      </c>
      <c r="D12" s="88" t="s">
        <v>335</v>
      </c>
      <c r="E12" s="56">
        <v>43101</v>
      </c>
      <c r="F12" s="56">
        <v>43463</v>
      </c>
      <c r="G12" s="56">
        <v>43101</v>
      </c>
      <c r="H12" s="56">
        <v>43188</v>
      </c>
      <c r="I12" s="59" t="s">
        <v>68</v>
      </c>
      <c r="J12" s="81">
        <v>60.9</v>
      </c>
      <c r="K12" s="81">
        <v>1046.5999999999999</v>
      </c>
      <c r="L12" s="81">
        <v>1046.5999999999999</v>
      </c>
      <c r="M12" s="81">
        <v>1119.2</v>
      </c>
      <c r="N12" s="81"/>
      <c r="O12" s="81">
        <v>1131.7</v>
      </c>
      <c r="P12" s="81"/>
      <c r="Q12" s="81">
        <f>807.2+56-0.1</f>
        <v>863.1</v>
      </c>
      <c r="R12" s="81"/>
      <c r="S12" s="102"/>
      <c r="T12" s="315"/>
    </row>
    <row r="13" spans="1:22" s="48" customFormat="1" ht="112.5" customHeight="1" x14ac:dyDescent="0.25">
      <c r="A13" s="59" t="s">
        <v>337</v>
      </c>
      <c r="B13" s="88" t="s">
        <v>40</v>
      </c>
      <c r="C13" s="91">
        <v>1</v>
      </c>
      <c r="D13" s="88" t="s">
        <v>335</v>
      </c>
      <c r="E13" s="56">
        <v>43101</v>
      </c>
      <c r="F13" s="56">
        <v>43463</v>
      </c>
      <c r="G13" s="56">
        <v>43101</v>
      </c>
      <c r="H13" s="56">
        <v>43188</v>
      </c>
      <c r="I13" s="59" t="s">
        <v>69</v>
      </c>
      <c r="J13" s="81">
        <v>197.6</v>
      </c>
      <c r="K13" s="81">
        <v>4834.7439999999997</v>
      </c>
      <c r="L13" s="81">
        <v>4834.7439999999997</v>
      </c>
      <c r="M13" s="81">
        <v>4244.8</v>
      </c>
      <c r="N13" s="81"/>
      <c r="O13" s="81">
        <v>4292.2</v>
      </c>
      <c r="P13" s="81"/>
      <c r="Q13" s="81">
        <f>3061.4-653</f>
        <v>2408.4</v>
      </c>
      <c r="R13" s="81"/>
      <c r="S13" s="101"/>
      <c r="T13" s="315"/>
    </row>
    <row r="14" spans="1:22" s="48" customFormat="1" ht="47.25" customHeight="1" x14ac:dyDescent="0.25">
      <c r="A14" s="59" t="s">
        <v>272</v>
      </c>
      <c r="B14" s="88" t="s">
        <v>338</v>
      </c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91"/>
      <c r="S14" s="101"/>
      <c r="T14" s="315"/>
    </row>
    <row r="15" spans="1:22" s="48" customFormat="1" ht="30.75" customHeight="1" x14ac:dyDescent="0.25">
      <c r="A15" s="309" t="s">
        <v>339</v>
      </c>
      <c r="B15" s="311" t="s">
        <v>41</v>
      </c>
      <c r="C15" s="302">
        <v>1</v>
      </c>
      <c r="D15" s="311" t="s">
        <v>335</v>
      </c>
      <c r="E15" s="304">
        <v>43101</v>
      </c>
      <c r="F15" s="320">
        <v>43463</v>
      </c>
      <c r="G15" s="320">
        <v>43101</v>
      </c>
      <c r="H15" s="320">
        <v>43188</v>
      </c>
      <c r="I15" s="59" t="s">
        <v>70</v>
      </c>
      <c r="J15" s="81">
        <v>38219</v>
      </c>
      <c r="K15" s="297">
        <v>595890.4</v>
      </c>
      <c r="L15" s="297">
        <v>595890.4</v>
      </c>
      <c r="M15" s="297">
        <v>635376.30000000005</v>
      </c>
      <c r="N15" s="135"/>
      <c r="O15" s="297">
        <v>584653</v>
      </c>
      <c r="P15" s="135"/>
      <c r="Q15" s="297">
        <v>853728.7</v>
      </c>
      <c r="R15" s="135"/>
      <c r="S15" s="296"/>
      <c r="T15" s="315"/>
    </row>
    <row r="16" spans="1:22" s="48" customFormat="1" ht="30.75" customHeight="1" x14ac:dyDescent="0.25">
      <c r="A16" s="309"/>
      <c r="B16" s="311"/>
      <c r="C16" s="302"/>
      <c r="D16" s="311"/>
      <c r="E16" s="304"/>
      <c r="F16" s="321"/>
      <c r="G16" s="321"/>
      <c r="H16" s="321"/>
      <c r="I16" s="59" t="s">
        <v>71</v>
      </c>
      <c r="J16" s="81">
        <v>2761</v>
      </c>
      <c r="K16" s="298"/>
      <c r="L16" s="298"/>
      <c r="M16" s="298"/>
      <c r="N16" s="136"/>
      <c r="O16" s="298"/>
      <c r="P16" s="136"/>
      <c r="Q16" s="298"/>
      <c r="R16" s="136"/>
      <c r="S16" s="296"/>
      <c r="T16" s="315"/>
    </row>
    <row r="17" spans="1:24" s="48" customFormat="1" ht="55.5" customHeight="1" x14ac:dyDescent="0.25">
      <c r="A17" s="334"/>
      <c r="B17" s="311"/>
      <c r="C17" s="302"/>
      <c r="D17" s="311"/>
      <c r="E17" s="302"/>
      <c r="F17" s="322"/>
      <c r="G17" s="322"/>
      <c r="H17" s="322"/>
      <c r="I17" s="59" t="s">
        <v>72</v>
      </c>
      <c r="J17" s="81">
        <v>116602.3</v>
      </c>
      <c r="K17" s="299"/>
      <c r="L17" s="299"/>
      <c r="M17" s="299"/>
      <c r="N17" s="134"/>
      <c r="O17" s="299"/>
      <c r="P17" s="134"/>
      <c r="Q17" s="299"/>
      <c r="R17" s="134"/>
      <c r="S17" s="296"/>
      <c r="T17" s="315"/>
    </row>
    <row r="18" spans="1:24" s="48" customFormat="1" ht="198" customHeight="1" x14ac:dyDescent="0.25">
      <c r="A18" s="59" t="s">
        <v>340</v>
      </c>
      <c r="B18" s="88" t="s">
        <v>42</v>
      </c>
      <c r="C18" s="91">
        <v>1</v>
      </c>
      <c r="D18" s="88" t="s">
        <v>335</v>
      </c>
      <c r="E18" s="56">
        <v>43101</v>
      </c>
      <c r="F18" s="56">
        <v>43463</v>
      </c>
      <c r="G18" s="56">
        <v>43101</v>
      </c>
      <c r="H18" s="56">
        <v>43188</v>
      </c>
      <c r="I18" s="59" t="s">
        <v>73</v>
      </c>
      <c r="J18" s="81"/>
      <c r="K18" s="81">
        <v>9.1999999999999993</v>
      </c>
      <c r="L18" s="81">
        <v>9.1999999999999993</v>
      </c>
      <c r="M18" s="81">
        <v>4346.8</v>
      </c>
      <c r="N18" s="81"/>
      <c r="O18" s="81">
        <v>3999.8</v>
      </c>
      <c r="P18" s="81"/>
      <c r="Q18" s="81">
        <f>4858.1+5049.9</f>
        <v>9908</v>
      </c>
      <c r="R18" s="81"/>
      <c r="S18" s="101"/>
      <c r="T18" s="315"/>
    </row>
    <row r="19" spans="1:24" s="49" customFormat="1" ht="108" customHeight="1" x14ac:dyDescent="0.25">
      <c r="A19" s="59" t="s">
        <v>341</v>
      </c>
      <c r="B19" s="88" t="s">
        <v>342</v>
      </c>
      <c r="C19" s="91">
        <v>1</v>
      </c>
      <c r="D19" s="88" t="s">
        <v>335</v>
      </c>
      <c r="E19" s="56">
        <v>43101</v>
      </c>
      <c r="F19" s="56">
        <v>43463</v>
      </c>
      <c r="G19" s="56">
        <v>43101</v>
      </c>
      <c r="H19" s="56">
        <v>43188</v>
      </c>
      <c r="I19" s="59" t="s">
        <v>74</v>
      </c>
      <c r="J19" s="81">
        <v>2285.1999999999998</v>
      </c>
      <c r="K19" s="81">
        <f>44482.2+0.1</f>
        <v>44482.299999999996</v>
      </c>
      <c r="L19" s="81">
        <f>44482.2</f>
        <v>44482.2</v>
      </c>
      <c r="M19" s="81">
        <v>40000</v>
      </c>
      <c r="N19" s="81"/>
      <c r="O19" s="81">
        <v>39000</v>
      </c>
      <c r="P19" s="81"/>
      <c r="Q19" s="81">
        <f>33675.8+199.9-1082.1-0.1</f>
        <v>32793.500000000007</v>
      </c>
      <c r="R19" s="81"/>
      <c r="S19" s="101"/>
      <c r="T19" s="315"/>
    </row>
    <row r="20" spans="1:24" s="49" customFormat="1" ht="102.75" customHeight="1" x14ac:dyDescent="0.25">
      <c r="A20" s="59" t="s">
        <v>343</v>
      </c>
      <c r="B20" s="88" t="s">
        <v>43</v>
      </c>
      <c r="C20" s="91">
        <v>1</v>
      </c>
      <c r="D20" s="88" t="s">
        <v>335</v>
      </c>
      <c r="E20" s="56">
        <v>43101</v>
      </c>
      <c r="F20" s="56">
        <v>43463</v>
      </c>
      <c r="G20" s="56">
        <v>43101</v>
      </c>
      <c r="H20" s="56">
        <v>43188</v>
      </c>
      <c r="I20" s="59" t="s">
        <v>75</v>
      </c>
      <c r="J20" s="81">
        <v>265.10000000000002</v>
      </c>
      <c r="K20" s="81">
        <v>38.4</v>
      </c>
      <c r="L20" s="81">
        <v>38.4</v>
      </c>
      <c r="M20" s="81">
        <v>67.3</v>
      </c>
      <c r="N20" s="81"/>
      <c r="O20" s="81">
        <v>67.2</v>
      </c>
      <c r="P20" s="81"/>
      <c r="Q20" s="81">
        <f>67.2+28.8</f>
        <v>96</v>
      </c>
      <c r="R20" s="81"/>
      <c r="S20" s="101"/>
      <c r="T20" s="313">
        <v>3</v>
      </c>
    </row>
    <row r="21" spans="1:24" s="49" customFormat="1" ht="49.5" customHeight="1" x14ac:dyDescent="0.25">
      <c r="A21" s="59" t="s">
        <v>275</v>
      </c>
      <c r="B21" s="87" t="s">
        <v>344</v>
      </c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91"/>
      <c r="S21" s="101"/>
      <c r="T21" s="315"/>
    </row>
    <row r="22" spans="1:24" s="49" customFormat="1" ht="60.75" customHeight="1" x14ac:dyDescent="0.25">
      <c r="A22" s="332" t="s">
        <v>345</v>
      </c>
      <c r="B22" s="318" t="s">
        <v>346</v>
      </c>
      <c r="C22" s="318"/>
      <c r="D22" s="318" t="s">
        <v>335</v>
      </c>
      <c r="E22" s="304">
        <v>43101</v>
      </c>
      <c r="F22" s="320">
        <v>43463</v>
      </c>
      <c r="G22" s="320">
        <v>43101</v>
      </c>
      <c r="H22" s="320">
        <v>43188</v>
      </c>
      <c r="I22" s="59" t="s">
        <v>76</v>
      </c>
      <c r="J22" s="81">
        <v>25.8</v>
      </c>
      <c r="K22" s="297">
        <v>1348373.4</v>
      </c>
      <c r="L22" s="297">
        <v>1348373.4</v>
      </c>
      <c r="M22" s="297">
        <v>1131137.8999999999</v>
      </c>
      <c r="N22" s="135"/>
      <c r="O22" s="297">
        <v>1040837</v>
      </c>
      <c r="P22" s="135"/>
      <c r="Q22" s="297">
        <v>1232331.8999999999</v>
      </c>
      <c r="R22" s="135"/>
      <c r="S22" s="296"/>
      <c r="T22" s="315"/>
    </row>
    <row r="23" spans="1:24" s="49" customFormat="1" ht="31.5" customHeight="1" x14ac:dyDescent="0.25">
      <c r="A23" s="333"/>
      <c r="B23" s="327"/>
      <c r="C23" s="327"/>
      <c r="D23" s="327"/>
      <c r="E23" s="303"/>
      <c r="F23" s="321"/>
      <c r="G23" s="321"/>
      <c r="H23" s="321"/>
      <c r="I23" s="59" t="s">
        <v>77</v>
      </c>
      <c r="J23" s="81">
        <v>66255.3</v>
      </c>
      <c r="K23" s="298"/>
      <c r="L23" s="298"/>
      <c r="M23" s="298"/>
      <c r="N23" s="136"/>
      <c r="O23" s="298"/>
      <c r="P23" s="136"/>
      <c r="Q23" s="298"/>
      <c r="R23" s="136"/>
      <c r="S23" s="296"/>
      <c r="T23" s="315"/>
    </row>
    <row r="24" spans="1:24" s="49" customFormat="1" ht="38.25" customHeight="1" x14ac:dyDescent="0.25">
      <c r="A24" s="333"/>
      <c r="B24" s="327"/>
      <c r="C24" s="327"/>
      <c r="D24" s="327"/>
      <c r="E24" s="303"/>
      <c r="F24" s="322"/>
      <c r="G24" s="322"/>
      <c r="H24" s="322"/>
      <c r="I24" s="59" t="s">
        <v>78</v>
      </c>
      <c r="J24" s="81">
        <v>4282.3999999999996</v>
      </c>
      <c r="K24" s="299"/>
      <c r="L24" s="299"/>
      <c r="M24" s="299"/>
      <c r="N24" s="134"/>
      <c r="O24" s="299"/>
      <c r="P24" s="134"/>
      <c r="Q24" s="299"/>
      <c r="R24" s="134"/>
      <c r="S24" s="296"/>
      <c r="T24" s="315"/>
    </row>
    <row r="25" spans="1:24" s="49" customFormat="1" ht="114" customHeight="1" x14ac:dyDescent="0.25">
      <c r="A25" s="59" t="s">
        <v>347</v>
      </c>
      <c r="B25" s="88" t="s">
        <v>44</v>
      </c>
      <c r="C25" s="91">
        <v>1</v>
      </c>
      <c r="D25" s="88" t="s">
        <v>335</v>
      </c>
      <c r="E25" s="56">
        <v>43101</v>
      </c>
      <c r="F25" s="56">
        <v>43463</v>
      </c>
      <c r="G25" s="56">
        <v>43101</v>
      </c>
      <c r="H25" s="56">
        <v>43188</v>
      </c>
      <c r="I25" s="59" t="s">
        <v>79</v>
      </c>
      <c r="J25" s="81">
        <v>14721.6</v>
      </c>
      <c r="K25" s="81">
        <f>405589.2-0.8</f>
        <v>405588.4</v>
      </c>
      <c r="L25" s="81">
        <f>405589.2-0.8</f>
        <v>405588.4</v>
      </c>
      <c r="M25" s="81">
        <v>297451.09999999998</v>
      </c>
      <c r="N25" s="81"/>
      <c r="O25" s="81">
        <v>273705</v>
      </c>
      <c r="P25" s="81"/>
      <c r="Q25" s="81">
        <f>332445.4-51558.6-7837.5+0.8</f>
        <v>273050.10000000003</v>
      </c>
      <c r="R25" s="81"/>
      <c r="S25" s="101"/>
      <c r="T25" s="315"/>
    </row>
    <row r="26" spans="1:24" s="49" customFormat="1" ht="45.75" customHeight="1" x14ac:dyDescent="0.25">
      <c r="A26" s="309" t="s">
        <v>348</v>
      </c>
      <c r="B26" s="311" t="s">
        <v>45</v>
      </c>
      <c r="C26" s="302">
        <v>1</v>
      </c>
      <c r="D26" s="311" t="s">
        <v>335</v>
      </c>
      <c r="E26" s="304">
        <v>43101</v>
      </c>
      <c r="F26" s="320">
        <v>43463</v>
      </c>
      <c r="G26" s="320">
        <v>43101</v>
      </c>
      <c r="H26" s="320">
        <v>43188</v>
      </c>
      <c r="I26" s="59" t="s">
        <v>80</v>
      </c>
      <c r="J26" s="81">
        <v>36500</v>
      </c>
      <c r="K26" s="297">
        <v>1296895.5</v>
      </c>
      <c r="L26" s="297">
        <v>1296895.5</v>
      </c>
      <c r="M26" s="297">
        <v>1078439</v>
      </c>
      <c r="N26" s="135"/>
      <c r="O26" s="297">
        <v>774079.4</v>
      </c>
      <c r="P26" s="135"/>
      <c r="Q26" s="297">
        <v>98896.4</v>
      </c>
      <c r="R26" s="135"/>
      <c r="S26" s="296"/>
      <c r="T26" s="315"/>
    </row>
    <row r="27" spans="1:24" s="49" customFormat="1" ht="42.75" customHeight="1" x14ac:dyDescent="0.25">
      <c r="A27" s="334"/>
      <c r="B27" s="311"/>
      <c r="C27" s="302"/>
      <c r="D27" s="311"/>
      <c r="E27" s="304"/>
      <c r="F27" s="321"/>
      <c r="G27" s="321"/>
      <c r="H27" s="321"/>
      <c r="I27" s="59" t="s">
        <v>81</v>
      </c>
      <c r="J27" s="81">
        <v>1004.4</v>
      </c>
      <c r="K27" s="298"/>
      <c r="L27" s="298"/>
      <c r="M27" s="298"/>
      <c r="N27" s="136"/>
      <c r="O27" s="298"/>
      <c r="P27" s="136"/>
      <c r="Q27" s="298"/>
      <c r="R27" s="136"/>
      <c r="S27" s="296"/>
      <c r="T27" s="315"/>
    </row>
    <row r="28" spans="1:24" s="49" customFormat="1" ht="87.75" customHeight="1" x14ac:dyDescent="0.25">
      <c r="A28" s="334"/>
      <c r="B28" s="311"/>
      <c r="C28" s="302"/>
      <c r="D28" s="311"/>
      <c r="E28" s="304"/>
      <c r="F28" s="322"/>
      <c r="G28" s="322"/>
      <c r="H28" s="322"/>
      <c r="I28" s="59" t="s">
        <v>82</v>
      </c>
      <c r="J28" s="81">
        <v>8065.4</v>
      </c>
      <c r="K28" s="299"/>
      <c r="L28" s="299"/>
      <c r="M28" s="299"/>
      <c r="N28" s="134"/>
      <c r="O28" s="299"/>
      <c r="P28" s="134"/>
      <c r="Q28" s="299"/>
      <c r="R28" s="134"/>
      <c r="S28" s="296"/>
      <c r="T28" s="315"/>
      <c r="U28" s="49" t="s">
        <v>349</v>
      </c>
      <c r="V28" s="49" t="s">
        <v>350</v>
      </c>
    </row>
    <row r="29" spans="1:24" s="49" customFormat="1" ht="209.25" customHeight="1" x14ac:dyDescent="0.25">
      <c r="A29" s="61" t="s">
        <v>351</v>
      </c>
      <c r="B29" s="88" t="s">
        <v>46</v>
      </c>
      <c r="C29" s="91">
        <v>1</v>
      </c>
      <c r="D29" s="88" t="s">
        <v>335</v>
      </c>
      <c r="E29" s="56">
        <v>43101</v>
      </c>
      <c r="F29" s="56">
        <v>43463</v>
      </c>
      <c r="G29" s="56">
        <v>43101</v>
      </c>
      <c r="H29" s="56">
        <v>43188</v>
      </c>
      <c r="I29" s="59" t="s">
        <v>83</v>
      </c>
      <c r="J29" s="81"/>
      <c r="K29" s="81">
        <f>2773.5+12.9</f>
        <v>2786.4</v>
      </c>
      <c r="L29" s="81">
        <f>2773.5+12.9</f>
        <v>2786.4</v>
      </c>
      <c r="M29" s="81">
        <f>ROUND(2585.2*23.8/100+1800,1)</f>
        <v>2415.3000000000002</v>
      </c>
      <c r="N29" s="81"/>
      <c r="O29" s="81">
        <f>ROUND(2585.2*21.9/100+1600,1)</f>
        <v>2166.1999999999998</v>
      </c>
      <c r="P29" s="81"/>
      <c r="Q29" s="81">
        <f>ROUND(2585.2*26.6/100+1386.1,1)+1616.4-273.8-12.9</f>
        <v>3403.5</v>
      </c>
      <c r="R29" s="81"/>
      <c r="S29" s="131"/>
      <c r="T29" s="315"/>
      <c r="U29" s="49">
        <f>K29*24%</f>
        <v>668.73599999999999</v>
      </c>
      <c r="V29" s="49">
        <f>K29*76%</f>
        <v>2117.6640000000002</v>
      </c>
      <c r="W29" s="49">
        <f>M29*24%</f>
        <v>579.67200000000003</v>
      </c>
      <c r="X29" s="49">
        <f>M29*76%</f>
        <v>1835.6280000000002</v>
      </c>
    </row>
    <row r="30" spans="1:24" s="49" customFormat="1" ht="83.25" customHeight="1" x14ac:dyDescent="0.25">
      <c r="A30" s="59" t="s">
        <v>278</v>
      </c>
      <c r="B30" s="88" t="s">
        <v>352</v>
      </c>
      <c r="C30" s="300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15"/>
      <c r="U30" s="49">
        <f>O29*24%</f>
        <v>519.88799999999992</v>
      </c>
      <c r="V30" s="49">
        <f>O29*76%</f>
        <v>1646.3119999999999</v>
      </c>
      <c r="W30" s="49">
        <f>Q29*24%</f>
        <v>816.83999999999992</v>
      </c>
      <c r="X30" s="49">
        <f>Q29*76%</f>
        <v>2586.66</v>
      </c>
    </row>
    <row r="31" spans="1:24" s="49" customFormat="1" ht="220.95" customHeight="1" x14ac:dyDescent="0.25">
      <c r="A31" s="59" t="s">
        <v>353</v>
      </c>
      <c r="B31" s="88" t="s">
        <v>47</v>
      </c>
      <c r="C31" s="91">
        <v>1</v>
      </c>
      <c r="D31" s="88" t="s">
        <v>335</v>
      </c>
      <c r="E31" s="56">
        <v>43101</v>
      </c>
      <c r="F31" s="56">
        <v>43463</v>
      </c>
      <c r="G31" s="56">
        <v>43101</v>
      </c>
      <c r="H31" s="56">
        <v>43188</v>
      </c>
      <c r="I31" s="59" t="s">
        <v>84</v>
      </c>
      <c r="J31" s="81">
        <v>95</v>
      </c>
      <c r="K31" s="81">
        <v>1289.5999999999999</v>
      </c>
      <c r="L31" s="81">
        <v>1289.5999999999999</v>
      </c>
      <c r="M31" s="81">
        <v>1380.8</v>
      </c>
      <c r="N31" s="81"/>
      <c r="O31" s="81">
        <v>1270.5999999999999</v>
      </c>
      <c r="P31" s="81"/>
      <c r="Q31" s="81">
        <f>1543.2+317.4</f>
        <v>1860.6</v>
      </c>
      <c r="R31" s="81"/>
      <c r="S31" s="80"/>
      <c r="T31" s="313">
        <v>4</v>
      </c>
    </row>
    <row r="32" spans="1:24" s="49" customFormat="1" ht="212.4" customHeight="1" x14ac:dyDescent="0.25">
      <c r="A32" s="59" t="s">
        <v>354</v>
      </c>
      <c r="B32" s="88" t="s">
        <v>48</v>
      </c>
      <c r="C32" s="91">
        <v>1</v>
      </c>
      <c r="D32" s="88" t="s">
        <v>335</v>
      </c>
      <c r="E32" s="56">
        <v>43101</v>
      </c>
      <c r="F32" s="56">
        <v>43463</v>
      </c>
      <c r="G32" s="56">
        <v>43101</v>
      </c>
      <c r="H32" s="56">
        <v>43188</v>
      </c>
      <c r="I32" s="59" t="s">
        <v>85</v>
      </c>
      <c r="J32" s="81">
        <v>184.7</v>
      </c>
      <c r="K32" s="81">
        <v>2767.4</v>
      </c>
      <c r="L32" s="81">
        <v>2767.4</v>
      </c>
      <c r="M32" s="81">
        <v>2852.7</v>
      </c>
      <c r="N32" s="81"/>
      <c r="O32" s="81">
        <v>2625</v>
      </c>
      <c r="P32" s="81"/>
      <c r="Q32" s="81">
        <f>3188.3+572.7-19.7-0.2</f>
        <v>3741.1000000000004</v>
      </c>
      <c r="R32" s="81"/>
      <c r="S32" s="80"/>
      <c r="T32" s="315"/>
    </row>
    <row r="33" spans="1:20" s="49" customFormat="1" ht="110.25" customHeight="1" x14ac:dyDescent="0.25">
      <c r="A33" s="59" t="s">
        <v>355</v>
      </c>
      <c r="B33" s="88" t="s">
        <v>49</v>
      </c>
      <c r="C33" s="91">
        <v>1</v>
      </c>
      <c r="D33" s="88" t="s">
        <v>335</v>
      </c>
      <c r="E33" s="56">
        <v>43101</v>
      </c>
      <c r="F33" s="56">
        <v>43463</v>
      </c>
      <c r="G33" s="56">
        <v>43101</v>
      </c>
      <c r="H33" s="56">
        <v>43188</v>
      </c>
      <c r="I33" s="59" t="s">
        <v>86</v>
      </c>
      <c r="J33" s="81">
        <v>174.2</v>
      </c>
      <c r="K33" s="81">
        <v>774.2</v>
      </c>
      <c r="L33" s="81">
        <v>774.2</v>
      </c>
      <c r="M33" s="81">
        <v>2294.5</v>
      </c>
      <c r="N33" s="81"/>
      <c r="O33" s="81">
        <v>2111.3000000000002</v>
      </c>
      <c r="P33" s="81"/>
      <c r="Q33" s="81">
        <f>2564.4+2029.1-132.8</f>
        <v>4460.7</v>
      </c>
      <c r="R33" s="81"/>
      <c r="S33" s="80"/>
      <c r="T33" s="315"/>
    </row>
    <row r="34" spans="1:20" s="49" customFormat="1" ht="45.15" customHeight="1" x14ac:dyDescent="0.25">
      <c r="A34" s="59" t="s">
        <v>281</v>
      </c>
      <c r="B34" s="88" t="s">
        <v>356</v>
      </c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140"/>
      <c r="S34" s="93"/>
      <c r="T34" s="315"/>
    </row>
    <row r="35" spans="1:20" s="49" customFormat="1" ht="108" customHeight="1" x14ac:dyDescent="0.25">
      <c r="A35" s="59" t="s">
        <v>357</v>
      </c>
      <c r="B35" s="88" t="s">
        <v>50</v>
      </c>
      <c r="C35" s="91">
        <v>1</v>
      </c>
      <c r="D35" s="88" t="s">
        <v>335</v>
      </c>
      <c r="E35" s="56">
        <v>43101</v>
      </c>
      <c r="F35" s="56">
        <v>43463</v>
      </c>
      <c r="G35" s="56">
        <v>43101</v>
      </c>
      <c r="H35" s="56">
        <v>43188</v>
      </c>
      <c r="I35" s="59" t="s">
        <v>87</v>
      </c>
      <c r="J35" s="81">
        <v>5.3</v>
      </c>
      <c r="K35" s="81">
        <v>0</v>
      </c>
      <c r="L35" s="81">
        <v>0</v>
      </c>
      <c r="M35" s="81">
        <v>1.2</v>
      </c>
      <c r="N35" s="81"/>
      <c r="O35" s="81">
        <v>1.1000000000000001</v>
      </c>
      <c r="P35" s="81"/>
      <c r="Q35" s="81">
        <f>1.4+1.4</f>
        <v>2.8</v>
      </c>
      <c r="R35" s="81"/>
      <c r="S35" s="81"/>
      <c r="T35" s="315"/>
    </row>
    <row r="36" spans="1:20" s="49" customFormat="1" ht="145.5" customHeight="1" x14ac:dyDescent="0.25">
      <c r="A36" s="59" t="s">
        <v>358</v>
      </c>
      <c r="B36" s="88" t="s">
        <v>51</v>
      </c>
      <c r="C36" s="91">
        <v>1</v>
      </c>
      <c r="D36" s="88" t="s">
        <v>335</v>
      </c>
      <c r="E36" s="56">
        <v>43101</v>
      </c>
      <c r="F36" s="56">
        <v>43463</v>
      </c>
      <c r="G36" s="56">
        <v>43101</v>
      </c>
      <c r="H36" s="56">
        <v>43188</v>
      </c>
      <c r="I36" s="59" t="s">
        <v>88</v>
      </c>
      <c r="J36" s="81">
        <v>6.5</v>
      </c>
      <c r="K36" s="81">
        <v>17.600000000000001</v>
      </c>
      <c r="L36" s="81">
        <v>17.600000000000001</v>
      </c>
      <c r="M36" s="81">
        <v>43.6</v>
      </c>
      <c r="N36" s="81"/>
      <c r="O36" s="81">
        <v>40.1</v>
      </c>
      <c r="P36" s="81"/>
      <c r="Q36" s="81">
        <f>48.9+33.2</f>
        <v>82.1</v>
      </c>
      <c r="R36" s="81"/>
      <c r="S36" s="81"/>
      <c r="T36" s="313">
        <v>5</v>
      </c>
    </row>
    <row r="37" spans="1:20" s="49" customFormat="1" ht="229.5" customHeight="1" x14ac:dyDescent="0.25">
      <c r="A37" s="59" t="s">
        <v>359</v>
      </c>
      <c r="B37" s="88" t="s">
        <v>512</v>
      </c>
      <c r="C37" s="91">
        <v>1</v>
      </c>
      <c r="D37" s="88" t="s">
        <v>335</v>
      </c>
      <c r="E37" s="56">
        <v>43101</v>
      </c>
      <c r="F37" s="56">
        <v>43463</v>
      </c>
      <c r="G37" s="56">
        <v>43101</v>
      </c>
      <c r="H37" s="56">
        <v>43188</v>
      </c>
      <c r="I37" s="59" t="s">
        <v>89</v>
      </c>
      <c r="J37" s="81">
        <v>32.6</v>
      </c>
      <c r="K37" s="81">
        <v>586.1</v>
      </c>
      <c r="L37" s="81">
        <v>586</v>
      </c>
      <c r="M37" s="81">
        <v>625.79999999999995</v>
      </c>
      <c r="N37" s="81"/>
      <c r="O37" s="81">
        <v>575.79999999999995</v>
      </c>
      <c r="P37" s="81"/>
      <c r="Q37" s="81">
        <f>699.4+142.2</f>
        <v>841.59999999999991</v>
      </c>
      <c r="R37" s="81"/>
      <c r="S37" s="81" t="s">
        <v>271</v>
      </c>
      <c r="T37" s="315"/>
    </row>
    <row r="38" spans="1:20" s="49" customFormat="1" ht="180.75" customHeight="1" x14ac:dyDescent="0.25">
      <c r="A38" s="59" t="s">
        <v>360</v>
      </c>
      <c r="B38" s="87" t="s">
        <v>53</v>
      </c>
      <c r="C38" s="91">
        <v>1</v>
      </c>
      <c r="D38" s="88" t="s">
        <v>335</v>
      </c>
      <c r="E38" s="56">
        <v>43101</v>
      </c>
      <c r="F38" s="56">
        <v>43463</v>
      </c>
      <c r="G38" s="56">
        <v>43101</v>
      </c>
      <c r="H38" s="56">
        <v>43188</v>
      </c>
      <c r="I38" s="59" t="s">
        <v>90</v>
      </c>
      <c r="J38" s="81">
        <v>50</v>
      </c>
      <c r="K38" s="81">
        <v>184.8</v>
      </c>
      <c r="L38" s="81">
        <v>184.8</v>
      </c>
      <c r="M38" s="81">
        <v>246.9</v>
      </c>
      <c r="N38" s="81"/>
      <c r="O38" s="81">
        <v>246.9</v>
      </c>
      <c r="P38" s="81"/>
      <c r="Q38" s="81">
        <f>247.4+63.3-1.2</f>
        <v>309.5</v>
      </c>
      <c r="R38" s="81"/>
      <c r="S38" s="81"/>
      <c r="T38" s="315"/>
    </row>
    <row r="39" spans="1:20" s="49" customFormat="1" ht="24" customHeight="1" x14ac:dyDescent="0.25">
      <c r="A39" s="59" t="s">
        <v>361</v>
      </c>
      <c r="B39" s="88" t="s">
        <v>362</v>
      </c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140"/>
      <c r="S39" s="93"/>
      <c r="T39" s="315"/>
    </row>
    <row r="40" spans="1:20" s="49" customFormat="1" ht="30" customHeight="1" x14ac:dyDescent="0.25">
      <c r="A40" s="309" t="s">
        <v>363</v>
      </c>
      <c r="B40" s="318" t="s">
        <v>54</v>
      </c>
      <c r="C40" s="302">
        <v>1</v>
      </c>
      <c r="D40" s="318" t="s">
        <v>364</v>
      </c>
      <c r="E40" s="304">
        <v>43101</v>
      </c>
      <c r="F40" s="320">
        <v>43463</v>
      </c>
      <c r="G40" s="320">
        <v>43101</v>
      </c>
      <c r="H40" s="320">
        <v>43188</v>
      </c>
      <c r="I40" s="59" t="s">
        <v>91</v>
      </c>
      <c r="J40" s="81">
        <v>592</v>
      </c>
      <c r="K40" s="297">
        <v>7740</v>
      </c>
      <c r="L40" s="297">
        <v>7740</v>
      </c>
      <c r="M40" s="297">
        <v>9081</v>
      </c>
      <c r="N40" s="135"/>
      <c r="O40" s="297">
        <v>8356</v>
      </c>
      <c r="P40" s="135"/>
      <c r="Q40" s="297">
        <v>12978.2</v>
      </c>
      <c r="R40" s="135"/>
      <c r="S40" s="305"/>
      <c r="T40" s="315"/>
    </row>
    <row r="41" spans="1:20" s="49" customFormat="1" ht="76.5" customHeight="1" x14ac:dyDescent="0.25">
      <c r="A41" s="317"/>
      <c r="B41" s="319"/>
      <c r="C41" s="317"/>
      <c r="D41" s="319"/>
      <c r="E41" s="317"/>
      <c r="F41" s="322"/>
      <c r="G41" s="322"/>
      <c r="H41" s="322"/>
      <c r="I41" s="59" t="s">
        <v>92</v>
      </c>
      <c r="J41" s="81">
        <v>36.6</v>
      </c>
      <c r="K41" s="299"/>
      <c r="L41" s="299"/>
      <c r="M41" s="299"/>
      <c r="N41" s="134"/>
      <c r="O41" s="299"/>
      <c r="P41" s="134"/>
      <c r="Q41" s="299"/>
      <c r="R41" s="134"/>
      <c r="S41" s="305"/>
      <c r="T41" s="315"/>
    </row>
    <row r="42" spans="1:20" s="49" customFormat="1" ht="98.25" customHeight="1" x14ac:dyDescent="0.25">
      <c r="A42" s="59" t="s">
        <v>365</v>
      </c>
      <c r="B42" s="88" t="s">
        <v>55</v>
      </c>
      <c r="C42" s="91">
        <v>1</v>
      </c>
      <c r="D42" s="87" t="s">
        <v>364</v>
      </c>
      <c r="E42" s="56">
        <v>43101</v>
      </c>
      <c r="F42" s="56">
        <v>43463</v>
      </c>
      <c r="G42" s="56">
        <v>43101</v>
      </c>
      <c r="H42" s="56">
        <v>43188</v>
      </c>
      <c r="I42" s="59" t="s">
        <v>93</v>
      </c>
      <c r="J42" s="81">
        <v>0.6</v>
      </c>
      <c r="K42" s="81">
        <v>0</v>
      </c>
      <c r="L42" s="81">
        <v>0</v>
      </c>
      <c r="M42" s="81">
        <v>8.4</v>
      </c>
      <c r="N42" s="81"/>
      <c r="O42" s="81">
        <v>7.7</v>
      </c>
      <c r="P42" s="81"/>
      <c r="Q42" s="81">
        <f>9.4+9.8</f>
        <v>19.200000000000003</v>
      </c>
      <c r="R42" s="81"/>
      <c r="S42" s="80"/>
      <c r="T42" s="315"/>
    </row>
    <row r="43" spans="1:20" s="49" customFormat="1" ht="87.15" customHeight="1" x14ac:dyDescent="0.25">
      <c r="A43" s="59" t="s">
        <v>366</v>
      </c>
      <c r="B43" s="87" t="s">
        <v>367</v>
      </c>
      <c r="C43" s="286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93"/>
      <c r="T43" s="315"/>
    </row>
    <row r="44" spans="1:20" s="49" customFormat="1" ht="96.75" customHeight="1" x14ac:dyDescent="0.25">
      <c r="A44" s="59" t="s">
        <v>368</v>
      </c>
      <c r="B44" s="88" t="s">
        <v>56</v>
      </c>
      <c r="C44" s="91">
        <v>1</v>
      </c>
      <c r="D44" s="88" t="s">
        <v>364</v>
      </c>
      <c r="E44" s="56">
        <v>43101</v>
      </c>
      <c r="F44" s="56">
        <v>43463</v>
      </c>
      <c r="G44" s="56">
        <v>43101</v>
      </c>
      <c r="H44" s="56">
        <v>43188</v>
      </c>
      <c r="I44" s="59" t="s">
        <v>94</v>
      </c>
      <c r="J44" s="81">
        <v>2.9</v>
      </c>
      <c r="K44" s="81">
        <v>15</v>
      </c>
      <c r="L44" s="81">
        <v>15</v>
      </c>
      <c r="M44" s="81">
        <v>0</v>
      </c>
      <c r="N44" s="81"/>
      <c r="O44" s="81">
        <v>0</v>
      </c>
      <c r="P44" s="81"/>
      <c r="Q44" s="81">
        <f>197.9-15</f>
        <v>182.9</v>
      </c>
      <c r="R44" s="81"/>
      <c r="S44" s="80"/>
      <c r="T44" s="313">
        <v>6</v>
      </c>
    </row>
    <row r="45" spans="1:20" s="49" customFormat="1" ht="104.25" customHeight="1" x14ac:dyDescent="0.25">
      <c r="A45" s="59" t="s">
        <v>369</v>
      </c>
      <c r="B45" s="87" t="s">
        <v>57</v>
      </c>
      <c r="C45" s="91">
        <v>1</v>
      </c>
      <c r="D45" s="87" t="s">
        <v>364</v>
      </c>
      <c r="E45" s="56">
        <v>43101</v>
      </c>
      <c r="F45" s="56">
        <v>43463</v>
      </c>
      <c r="G45" s="56">
        <v>43101</v>
      </c>
      <c r="H45" s="56">
        <v>43188</v>
      </c>
      <c r="I45" s="59" t="s">
        <v>95</v>
      </c>
      <c r="J45" s="81">
        <v>500</v>
      </c>
      <c r="K45" s="81">
        <v>290138.2</v>
      </c>
      <c r="L45" s="81">
        <v>290138.09999999998</v>
      </c>
      <c r="M45" s="81">
        <v>0</v>
      </c>
      <c r="N45" s="81"/>
      <c r="O45" s="81">
        <v>0</v>
      </c>
      <c r="P45" s="81"/>
      <c r="Q45" s="81">
        <f>6261.5-372.1</f>
        <v>5889.4</v>
      </c>
      <c r="R45" s="81"/>
      <c r="S45" s="94" t="s">
        <v>271</v>
      </c>
      <c r="T45" s="315"/>
    </row>
    <row r="46" spans="1:20" s="49" customFormat="1" ht="55.5" customHeight="1" x14ac:dyDescent="0.25">
      <c r="A46" s="309" t="s">
        <v>370</v>
      </c>
      <c r="B46" s="318" t="s">
        <v>58</v>
      </c>
      <c r="C46" s="302">
        <v>1</v>
      </c>
      <c r="D46" s="318" t="s">
        <v>364</v>
      </c>
      <c r="E46" s="304">
        <v>43101</v>
      </c>
      <c r="F46" s="320">
        <v>43463</v>
      </c>
      <c r="G46" s="320">
        <v>43101</v>
      </c>
      <c r="H46" s="320">
        <v>43188</v>
      </c>
      <c r="I46" s="59" t="s">
        <v>96</v>
      </c>
      <c r="J46" s="81">
        <v>735.3</v>
      </c>
      <c r="K46" s="297">
        <v>18564.900000000001</v>
      </c>
      <c r="L46" s="297">
        <v>18564.900000000001</v>
      </c>
      <c r="M46" s="297">
        <v>16319.4</v>
      </c>
      <c r="N46" s="135"/>
      <c r="O46" s="297">
        <v>15016.6</v>
      </c>
      <c r="P46" s="135"/>
      <c r="Q46" s="297">
        <v>18668.2</v>
      </c>
      <c r="R46" s="135"/>
      <c r="S46" s="306"/>
      <c r="T46" s="315"/>
    </row>
    <row r="47" spans="1:20" s="49" customFormat="1" ht="59.25" customHeight="1" x14ac:dyDescent="0.25">
      <c r="A47" s="303"/>
      <c r="B47" s="327"/>
      <c r="C47" s="302"/>
      <c r="D47" s="318"/>
      <c r="E47" s="303"/>
      <c r="F47" s="322"/>
      <c r="G47" s="322"/>
      <c r="H47" s="322"/>
      <c r="I47" s="59" t="s">
        <v>97</v>
      </c>
      <c r="J47" s="81"/>
      <c r="K47" s="299"/>
      <c r="L47" s="299"/>
      <c r="M47" s="299"/>
      <c r="N47" s="134"/>
      <c r="O47" s="299"/>
      <c r="P47" s="134"/>
      <c r="Q47" s="299"/>
      <c r="R47" s="134"/>
      <c r="S47" s="307"/>
      <c r="T47" s="315"/>
    </row>
    <row r="48" spans="1:20" s="49" customFormat="1" ht="158.4" customHeight="1" x14ac:dyDescent="0.25">
      <c r="A48" s="59" t="s">
        <v>371</v>
      </c>
      <c r="B48" s="87" t="s">
        <v>59</v>
      </c>
      <c r="C48" s="91">
        <v>1</v>
      </c>
      <c r="D48" s="87" t="s">
        <v>364</v>
      </c>
      <c r="E48" s="56">
        <v>43101</v>
      </c>
      <c r="F48" s="56">
        <v>43463</v>
      </c>
      <c r="G48" s="56">
        <v>43101</v>
      </c>
      <c r="H48" s="56">
        <v>43188</v>
      </c>
      <c r="I48" s="59" t="s">
        <v>98</v>
      </c>
      <c r="J48" s="81"/>
      <c r="K48" s="81">
        <v>33.9</v>
      </c>
      <c r="L48" s="81">
        <v>33.9</v>
      </c>
      <c r="M48" s="81">
        <v>158</v>
      </c>
      <c r="N48" s="81"/>
      <c r="O48" s="81">
        <v>145.4</v>
      </c>
      <c r="P48" s="81"/>
      <c r="Q48" s="81">
        <f>176.6+153.7-3.6</f>
        <v>326.69999999999993</v>
      </c>
      <c r="R48" s="81"/>
      <c r="S48" s="81"/>
      <c r="T48" s="315"/>
    </row>
    <row r="49" spans="1:28" s="49" customFormat="1" ht="30.75" customHeight="1" x14ac:dyDescent="0.25">
      <c r="A49" s="59" t="s">
        <v>372</v>
      </c>
      <c r="B49" s="88" t="s">
        <v>373</v>
      </c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140"/>
      <c r="S49" s="93"/>
      <c r="T49" s="315"/>
    </row>
    <row r="50" spans="1:28" s="49" customFormat="1" ht="25.5" customHeight="1" x14ac:dyDescent="0.25">
      <c r="A50" s="309" t="s">
        <v>374</v>
      </c>
      <c r="B50" s="311" t="s">
        <v>60</v>
      </c>
      <c r="C50" s="302"/>
      <c r="D50" s="318" t="s">
        <v>364</v>
      </c>
      <c r="E50" s="304">
        <v>43101</v>
      </c>
      <c r="F50" s="320">
        <v>43463</v>
      </c>
      <c r="G50" s="320">
        <v>43101</v>
      </c>
      <c r="H50" s="320">
        <v>43188</v>
      </c>
      <c r="I50" s="59" t="s">
        <v>99</v>
      </c>
      <c r="J50" s="81">
        <v>148423.20000000001</v>
      </c>
      <c r="K50" s="297">
        <v>298688.90000000002</v>
      </c>
      <c r="L50" s="297">
        <v>298688.90000000002</v>
      </c>
      <c r="M50" s="297">
        <v>244177.4</v>
      </c>
      <c r="N50" s="135"/>
      <c r="O50" s="297">
        <v>224684.5</v>
      </c>
      <c r="P50" s="135"/>
      <c r="Q50" s="297">
        <v>258405.2</v>
      </c>
      <c r="R50" s="135"/>
      <c r="S50" s="297"/>
      <c r="T50" s="315"/>
    </row>
    <row r="51" spans="1:28" s="49" customFormat="1" ht="22.5" customHeight="1" x14ac:dyDescent="0.25">
      <c r="A51" s="303"/>
      <c r="B51" s="331"/>
      <c r="C51" s="303"/>
      <c r="D51" s="327"/>
      <c r="E51" s="303"/>
      <c r="F51" s="321"/>
      <c r="G51" s="321"/>
      <c r="H51" s="321"/>
      <c r="I51" s="59" t="s">
        <v>100</v>
      </c>
      <c r="J51" s="81">
        <v>95.1</v>
      </c>
      <c r="K51" s="298"/>
      <c r="L51" s="298"/>
      <c r="M51" s="298"/>
      <c r="N51" s="136"/>
      <c r="O51" s="298"/>
      <c r="P51" s="136"/>
      <c r="Q51" s="298"/>
      <c r="R51" s="136"/>
      <c r="S51" s="298"/>
      <c r="T51" s="315"/>
    </row>
    <row r="52" spans="1:28" s="49" customFormat="1" ht="30.75" customHeight="1" x14ac:dyDescent="0.25">
      <c r="A52" s="303"/>
      <c r="B52" s="331"/>
      <c r="C52" s="303"/>
      <c r="D52" s="327"/>
      <c r="E52" s="303"/>
      <c r="F52" s="321"/>
      <c r="G52" s="321"/>
      <c r="H52" s="321"/>
      <c r="I52" s="59" t="s">
        <v>375</v>
      </c>
      <c r="J52" s="81">
        <v>88494.3</v>
      </c>
      <c r="K52" s="298"/>
      <c r="L52" s="298"/>
      <c r="M52" s="298"/>
      <c r="N52" s="136"/>
      <c r="O52" s="298"/>
      <c r="P52" s="136"/>
      <c r="Q52" s="298"/>
      <c r="R52" s="136"/>
      <c r="S52" s="298"/>
      <c r="T52" s="315"/>
    </row>
    <row r="53" spans="1:28" s="49" customFormat="1" ht="37.5" customHeight="1" x14ac:dyDescent="0.25">
      <c r="A53" s="303"/>
      <c r="B53" s="331"/>
      <c r="C53" s="303"/>
      <c r="D53" s="327"/>
      <c r="E53" s="303"/>
      <c r="F53" s="321"/>
      <c r="G53" s="321"/>
      <c r="H53" s="321"/>
      <c r="I53" s="59" t="s">
        <v>102</v>
      </c>
      <c r="J53" s="81">
        <v>6965.5</v>
      </c>
      <c r="K53" s="298"/>
      <c r="L53" s="298"/>
      <c r="M53" s="298"/>
      <c r="N53" s="136"/>
      <c r="O53" s="298"/>
      <c r="P53" s="136"/>
      <c r="Q53" s="298"/>
      <c r="R53" s="136"/>
      <c r="S53" s="298"/>
      <c r="T53" s="315"/>
    </row>
    <row r="54" spans="1:28" s="49" customFormat="1" ht="39.15" customHeight="1" x14ac:dyDescent="0.25">
      <c r="A54" s="303"/>
      <c r="B54" s="331"/>
      <c r="C54" s="303"/>
      <c r="D54" s="327"/>
      <c r="E54" s="303"/>
      <c r="F54" s="321"/>
      <c r="G54" s="321"/>
      <c r="H54" s="321"/>
      <c r="I54" s="59" t="s">
        <v>103</v>
      </c>
      <c r="J54" s="81">
        <v>8006.4</v>
      </c>
      <c r="K54" s="298"/>
      <c r="L54" s="298"/>
      <c r="M54" s="298"/>
      <c r="N54" s="136"/>
      <c r="O54" s="298"/>
      <c r="P54" s="136"/>
      <c r="Q54" s="298"/>
      <c r="R54" s="136"/>
      <c r="S54" s="298"/>
      <c r="T54" s="315"/>
    </row>
    <row r="55" spans="1:28" s="49" customFormat="1" ht="179.25" customHeight="1" x14ac:dyDescent="0.25">
      <c r="A55" s="303"/>
      <c r="B55" s="331"/>
      <c r="C55" s="303"/>
      <c r="D55" s="327"/>
      <c r="E55" s="303"/>
      <c r="F55" s="322"/>
      <c r="G55" s="322"/>
      <c r="H55" s="322"/>
      <c r="I55" s="59" t="s">
        <v>104</v>
      </c>
      <c r="J55" s="81">
        <v>367315.5</v>
      </c>
      <c r="K55" s="299"/>
      <c r="L55" s="299"/>
      <c r="M55" s="299"/>
      <c r="N55" s="134"/>
      <c r="O55" s="299"/>
      <c r="P55" s="134"/>
      <c r="Q55" s="299"/>
      <c r="R55" s="134"/>
      <c r="S55" s="299"/>
      <c r="T55" s="315"/>
    </row>
    <row r="56" spans="1:28" s="49" customFormat="1" ht="130.5" customHeight="1" x14ac:dyDescent="0.25">
      <c r="A56" s="59" t="s">
        <v>376</v>
      </c>
      <c r="B56" s="88" t="s">
        <v>61</v>
      </c>
      <c r="C56" s="91"/>
      <c r="D56" s="87" t="s">
        <v>364</v>
      </c>
      <c r="E56" s="56">
        <v>43101</v>
      </c>
      <c r="F56" s="56">
        <v>43463</v>
      </c>
      <c r="G56" s="56">
        <v>43101</v>
      </c>
      <c r="H56" s="56">
        <v>43188</v>
      </c>
      <c r="I56" s="59" t="s">
        <v>105</v>
      </c>
      <c r="J56" s="81">
        <v>3.1</v>
      </c>
      <c r="K56" s="81">
        <v>49.4</v>
      </c>
      <c r="L56" s="81">
        <v>49.4</v>
      </c>
      <c r="M56" s="81">
        <f>ROUND(409.7*23.8/100,1)</f>
        <v>97.5</v>
      </c>
      <c r="N56" s="81"/>
      <c r="O56" s="81">
        <f>ROUND(409.7*21.9/100,1)</f>
        <v>89.7</v>
      </c>
      <c r="P56" s="81"/>
      <c r="Q56" s="81">
        <f>ROUND(409.7*26.6/100,1)+79.4-15.3</f>
        <v>173.1</v>
      </c>
      <c r="R56" s="81"/>
      <c r="S56" s="81"/>
      <c r="T56" s="313">
        <v>7</v>
      </c>
    </row>
    <row r="57" spans="1:28" s="49" customFormat="1" ht="102.75" customHeight="1" x14ac:dyDescent="0.25">
      <c r="A57" s="59" t="s">
        <v>377</v>
      </c>
      <c r="B57" s="88" t="s">
        <v>62</v>
      </c>
      <c r="C57" s="91"/>
      <c r="D57" s="87" t="s">
        <v>364</v>
      </c>
      <c r="E57" s="56">
        <v>43101</v>
      </c>
      <c r="F57" s="56">
        <v>43463</v>
      </c>
      <c r="G57" s="56">
        <v>43101</v>
      </c>
      <c r="H57" s="56">
        <v>43188</v>
      </c>
      <c r="I57" s="59" t="s">
        <v>106</v>
      </c>
      <c r="J57" s="81">
        <v>456</v>
      </c>
      <c r="K57" s="81">
        <v>11555.8</v>
      </c>
      <c r="L57" s="81">
        <v>11555.3</v>
      </c>
      <c r="M57" s="81">
        <f>ROUND(33755.5*23.8/100,1)</f>
        <v>8033.8</v>
      </c>
      <c r="N57" s="81"/>
      <c r="O57" s="81">
        <f>ROUND(33755.5*21.9/100,1)</f>
        <v>7392.5</v>
      </c>
      <c r="P57" s="81"/>
      <c r="Q57" s="81">
        <f>ROUND(33755.5*26.6/100-0.1,1)-2036.6-168.9</f>
        <v>6773.4</v>
      </c>
      <c r="R57" s="81"/>
      <c r="S57" s="127" t="s">
        <v>271</v>
      </c>
      <c r="T57" s="315"/>
    </row>
    <row r="58" spans="1:28" s="49" customFormat="1" ht="180" customHeight="1" x14ac:dyDescent="0.25">
      <c r="A58" s="59" t="s">
        <v>378</v>
      </c>
      <c r="B58" s="88" t="s">
        <v>63</v>
      </c>
      <c r="C58" s="91"/>
      <c r="D58" s="87" t="s">
        <v>364</v>
      </c>
      <c r="E58" s="56">
        <v>43101</v>
      </c>
      <c r="F58" s="56">
        <v>43463</v>
      </c>
      <c r="G58" s="56">
        <v>43101</v>
      </c>
      <c r="H58" s="56">
        <v>43188</v>
      </c>
      <c r="I58" s="59" t="s">
        <v>107</v>
      </c>
      <c r="J58" s="81">
        <v>12596.2</v>
      </c>
      <c r="K58" s="81">
        <v>5414.1</v>
      </c>
      <c r="L58" s="81">
        <v>5414.2</v>
      </c>
      <c r="M58" s="81">
        <f>ROUND(12596.2*23.8/100,1)</f>
        <v>2997.9</v>
      </c>
      <c r="N58" s="81"/>
      <c r="O58" s="81">
        <f>ROUND(12596.2*21.9/100,1)</f>
        <v>2758.6</v>
      </c>
      <c r="P58" s="81"/>
      <c r="Q58" s="81">
        <f>ROUND(12596.2*26.6/100,1)-1049.3-875.7</f>
        <v>1425.6000000000001</v>
      </c>
      <c r="R58" s="81"/>
      <c r="S58" s="127" t="s">
        <v>271</v>
      </c>
      <c r="T58" s="315"/>
    </row>
    <row r="59" spans="1:28" s="49" customFormat="1" ht="66" customHeight="1" x14ac:dyDescent="0.25">
      <c r="A59" s="59" t="s">
        <v>379</v>
      </c>
      <c r="B59" s="88" t="s">
        <v>380</v>
      </c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140"/>
      <c r="S59" s="93"/>
      <c r="T59" s="315"/>
    </row>
    <row r="60" spans="1:28" s="49" customFormat="1" ht="102.75" customHeight="1" x14ac:dyDescent="0.25">
      <c r="A60" s="59" t="s">
        <v>381</v>
      </c>
      <c r="B60" s="88" t="s">
        <v>64</v>
      </c>
      <c r="C60" s="91"/>
      <c r="D60" s="87" t="s">
        <v>364</v>
      </c>
      <c r="E60" s="56">
        <v>43101</v>
      </c>
      <c r="F60" s="56">
        <v>43463</v>
      </c>
      <c r="G60" s="56">
        <v>43101</v>
      </c>
      <c r="H60" s="56">
        <v>43188</v>
      </c>
      <c r="I60" s="59" t="s">
        <v>108</v>
      </c>
      <c r="J60" s="81">
        <v>11737.9</v>
      </c>
      <c r="K60" s="81">
        <f>182788.4+70.9-36</f>
        <v>182823.3</v>
      </c>
      <c r="L60" s="81">
        <f>182788.4+70.9-36</f>
        <v>182823.3</v>
      </c>
      <c r="M60" s="81">
        <f>ROUND(974190.9*23.8/100,1)</f>
        <v>231857.4</v>
      </c>
      <c r="N60" s="81"/>
      <c r="O60" s="81">
        <f>ROUND(974190.9*21.9/100,1)</f>
        <v>213347.8</v>
      </c>
      <c r="P60" s="81"/>
      <c r="Q60" s="81">
        <f>ROUND(974190.9*26.6/100,1)+93636.6-6574.1-70.9+36</f>
        <v>346162.4</v>
      </c>
      <c r="R60" s="81"/>
      <c r="S60" s="80"/>
      <c r="T60" s="315"/>
    </row>
    <row r="61" spans="1:28" s="49" customFormat="1" ht="36.75" customHeight="1" x14ac:dyDescent="0.3">
      <c r="A61" s="59" t="s">
        <v>382</v>
      </c>
      <c r="B61" s="88" t="s">
        <v>383</v>
      </c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140"/>
      <c r="S61" s="93"/>
      <c r="T61" s="315"/>
      <c r="AB61" s="50"/>
    </row>
    <row r="62" spans="1:28" s="49" customFormat="1" ht="157.5" customHeight="1" x14ac:dyDescent="0.25">
      <c r="A62" s="59" t="s">
        <v>384</v>
      </c>
      <c r="B62" s="87" t="s">
        <v>65</v>
      </c>
      <c r="C62" s="91"/>
      <c r="D62" s="91" t="s">
        <v>385</v>
      </c>
      <c r="E62" s="56">
        <v>43101</v>
      </c>
      <c r="F62" s="56">
        <v>43463</v>
      </c>
      <c r="G62" s="56">
        <v>43101</v>
      </c>
      <c r="H62" s="56">
        <v>43188</v>
      </c>
      <c r="I62" s="59" t="s">
        <v>109</v>
      </c>
      <c r="J62" s="81">
        <v>279195.09999999998</v>
      </c>
      <c r="K62" s="81">
        <v>14639.7</v>
      </c>
      <c r="L62" s="81">
        <v>14639.7</v>
      </c>
      <c r="M62" s="81">
        <v>18358.599999999999</v>
      </c>
      <c r="N62" s="81"/>
      <c r="O62" s="81">
        <v>18358.599999999999</v>
      </c>
      <c r="P62" s="81"/>
      <c r="Q62" s="81">
        <v>18358.400000000001</v>
      </c>
      <c r="R62" s="81"/>
      <c r="S62" s="80"/>
      <c r="T62" s="313">
        <v>8</v>
      </c>
    </row>
    <row r="63" spans="1:28" s="49" customFormat="1" ht="156" customHeight="1" x14ac:dyDescent="0.25">
      <c r="A63" s="59" t="s">
        <v>386</v>
      </c>
      <c r="B63" s="87" t="s">
        <v>66</v>
      </c>
      <c r="C63" s="91"/>
      <c r="D63" s="91" t="s">
        <v>385</v>
      </c>
      <c r="E63" s="56">
        <v>43101</v>
      </c>
      <c r="F63" s="56">
        <v>43463</v>
      </c>
      <c r="G63" s="56">
        <v>43101</v>
      </c>
      <c r="H63" s="56">
        <v>43188</v>
      </c>
      <c r="I63" s="59" t="s">
        <v>110</v>
      </c>
      <c r="J63" s="81"/>
      <c r="K63" s="81">
        <v>0</v>
      </c>
      <c r="L63" s="81">
        <v>0</v>
      </c>
      <c r="M63" s="81">
        <v>29957.1</v>
      </c>
      <c r="N63" s="81"/>
      <c r="O63" s="81">
        <v>0</v>
      </c>
      <c r="P63" s="81"/>
      <c r="Q63" s="81">
        <v>0</v>
      </c>
      <c r="R63" s="81"/>
      <c r="S63" s="81"/>
      <c r="T63" s="313"/>
    </row>
    <row r="64" spans="1:28" s="49" customFormat="1" ht="155.25" customHeight="1" x14ac:dyDescent="0.25">
      <c r="A64" s="59" t="s">
        <v>387</v>
      </c>
      <c r="B64" s="87" t="s">
        <v>67</v>
      </c>
      <c r="C64" s="91"/>
      <c r="D64" s="91" t="s">
        <v>385</v>
      </c>
      <c r="E64" s="56">
        <v>43101</v>
      </c>
      <c r="F64" s="56">
        <v>43463</v>
      </c>
      <c r="G64" s="56">
        <v>43101</v>
      </c>
      <c r="H64" s="56">
        <v>43188</v>
      </c>
      <c r="I64" s="59" t="s">
        <v>111</v>
      </c>
      <c r="J64" s="81"/>
      <c r="K64" s="81">
        <v>0</v>
      </c>
      <c r="L64" s="81">
        <v>0</v>
      </c>
      <c r="M64" s="81">
        <v>17187.400000000001</v>
      </c>
      <c r="N64" s="81"/>
      <c r="O64" s="81">
        <v>0</v>
      </c>
      <c r="P64" s="81"/>
      <c r="Q64" s="81">
        <v>0</v>
      </c>
      <c r="R64" s="81"/>
      <c r="S64" s="81"/>
      <c r="T64" s="313"/>
    </row>
    <row r="65" spans="1:24" s="52" customFormat="1" ht="19.2" customHeight="1" x14ac:dyDescent="0.25">
      <c r="A65" s="59"/>
      <c r="B65" s="87" t="s">
        <v>388</v>
      </c>
      <c r="C65" s="91" t="s">
        <v>13</v>
      </c>
      <c r="D65" s="91" t="s">
        <v>13</v>
      </c>
      <c r="E65" s="91" t="s">
        <v>13</v>
      </c>
      <c r="F65" s="91"/>
      <c r="G65" s="91"/>
      <c r="H65" s="91"/>
      <c r="I65" s="91" t="s">
        <v>389</v>
      </c>
      <c r="J65" s="81" t="s">
        <v>389</v>
      </c>
      <c r="K65" s="81" t="s">
        <v>389</v>
      </c>
      <c r="L65" s="81"/>
      <c r="M65" s="81" t="s">
        <v>389</v>
      </c>
      <c r="N65" s="81"/>
      <c r="O65" s="81" t="s">
        <v>389</v>
      </c>
      <c r="P65" s="81"/>
      <c r="Q65" s="81" t="s">
        <v>389</v>
      </c>
      <c r="R65" s="81"/>
      <c r="S65" s="81"/>
      <c r="T65" s="315"/>
    </row>
    <row r="66" spans="1:24" s="49" customFormat="1" ht="84.75" customHeight="1" x14ac:dyDescent="0.25">
      <c r="A66" s="59"/>
      <c r="B66" s="87" t="s">
        <v>390</v>
      </c>
      <c r="C66" s="91">
        <v>1</v>
      </c>
      <c r="D66" s="91" t="s">
        <v>391</v>
      </c>
      <c r="E66" s="56">
        <v>43101</v>
      </c>
      <c r="F66" s="56">
        <v>43463</v>
      </c>
      <c r="G66" s="56">
        <v>43101</v>
      </c>
      <c r="H66" s="56">
        <v>43188</v>
      </c>
      <c r="I66" s="91" t="s">
        <v>389</v>
      </c>
      <c r="J66" s="91" t="s">
        <v>389</v>
      </c>
      <c r="K66" s="91" t="s">
        <v>389</v>
      </c>
      <c r="L66" s="91"/>
      <c r="M66" s="91"/>
      <c r="N66" s="91"/>
      <c r="O66" s="91"/>
      <c r="P66" s="91"/>
      <c r="Q66" s="91" t="s">
        <v>389</v>
      </c>
      <c r="R66" s="140"/>
      <c r="S66" s="93"/>
      <c r="T66" s="315"/>
    </row>
    <row r="67" spans="1:24" s="49" customFormat="1" ht="18.75" customHeight="1" x14ac:dyDescent="0.25">
      <c r="A67" s="59"/>
      <c r="B67" s="87" t="s">
        <v>392</v>
      </c>
      <c r="C67" s="91" t="s">
        <v>13</v>
      </c>
      <c r="D67" s="91" t="s">
        <v>13</v>
      </c>
      <c r="E67" s="91" t="s">
        <v>13</v>
      </c>
      <c r="F67" s="91"/>
      <c r="G67" s="91"/>
      <c r="H67" s="91"/>
      <c r="I67" s="91" t="s">
        <v>389</v>
      </c>
      <c r="J67" s="91" t="s">
        <v>389</v>
      </c>
      <c r="K67" s="91" t="s">
        <v>389</v>
      </c>
      <c r="L67" s="91"/>
      <c r="M67" s="91" t="s">
        <v>389</v>
      </c>
      <c r="N67" s="91"/>
      <c r="O67" s="91" t="s">
        <v>389</v>
      </c>
      <c r="P67" s="91"/>
      <c r="Q67" s="91" t="s">
        <v>389</v>
      </c>
      <c r="R67" s="91"/>
      <c r="S67" s="85"/>
      <c r="T67" s="315"/>
    </row>
    <row r="68" spans="1:24" s="49" customFormat="1" ht="52.5" customHeight="1" x14ac:dyDescent="0.25">
      <c r="A68" s="59"/>
      <c r="B68" s="87" t="s">
        <v>393</v>
      </c>
      <c r="C68" s="91">
        <v>1</v>
      </c>
      <c r="D68" s="91" t="s">
        <v>394</v>
      </c>
      <c r="E68" s="56">
        <v>43101</v>
      </c>
      <c r="F68" s="56">
        <v>43463</v>
      </c>
      <c r="G68" s="56">
        <v>43101</v>
      </c>
      <c r="H68" s="56">
        <v>43188</v>
      </c>
      <c r="I68" s="91" t="s">
        <v>389</v>
      </c>
      <c r="J68" s="91" t="s">
        <v>389</v>
      </c>
      <c r="K68" s="91" t="s">
        <v>389</v>
      </c>
      <c r="L68" s="91"/>
      <c r="M68" s="91" t="s">
        <v>389</v>
      </c>
      <c r="N68" s="91"/>
      <c r="O68" s="91" t="s">
        <v>389</v>
      </c>
      <c r="P68" s="91"/>
      <c r="Q68" s="91" t="s">
        <v>389</v>
      </c>
      <c r="R68" s="91"/>
      <c r="S68" s="85"/>
      <c r="T68" s="315"/>
    </row>
    <row r="69" spans="1:24" s="49" customFormat="1" ht="32.25" hidden="1" customHeight="1" x14ac:dyDescent="0.25">
      <c r="A69" s="309"/>
      <c r="B69" s="114" t="s">
        <v>395</v>
      </c>
      <c r="C69" s="91" t="s">
        <v>13</v>
      </c>
      <c r="D69" s="115" t="s">
        <v>389</v>
      </c>
      <c r="E69" s="115" t="s">
        <v>389</v>
      </c>
      <c r="F69" s="115"/>
      <c r="G69" s="115"/>
      <c r="H69" s="115"/>
      <c r="I69" s="115" t="s">
        <v>389</v>
      </c>
      <c r="J69" s="116" t="e">
        <f>SUM(J73:J75,J77:J82,J84:J91,J94:J100,J102:J105,J107:J112,#REF!,J113:J114,J116:J116,J131:J132)</f>
        <v>#REF!</v>
      </c>
      <c r="K69" s="116">
        <f>K70+K71</f>
        <v>4611888.199</v>
      </c>
      <c r="L69" s="116"/>
      <c r="M69" s="116">
        <f>M70+M71</f>
        <v>3858868.8999999994</v>
      </c>
      <c r="N69" s="116"/>
      <c r="O69" s="116">
        <f>O70+O71</f>
        <v>3300428</v>
      </c>
      <c r="P69" s="116"/>
      <c r="Q69" s="116">
        <f>Q70+Q71</f>
        <v>3245583.4000000008</v>
      </c>
      <c r="R69" s="142"/>
      <c r="S69" s="95"/>
      <c r="T69" s="315"/>
    </row>
    <row r="70" spans="1:24" s="49" customFormat="1" ht="25.5" hidden="1" customHeight="1" x14ac:dyDescent="0.25">
      <c r="A70" s="303"/>
      <c r="B70" s="114" t="s">
        <v>396</v>
      </c>
      <c r="C70" s="91" t="s">
        <v>13</v>
      </c>
      <c r="D70" s="115" t="s">
        <v>13</v>
      </c>
      <c r="E70" s="115" t="s">
        <v>13</v>
      </c>
      <c r="F70" s="115"/>
      <c r="G70" s="115"/>
      <c r="H70" s="115"/>
      <c r="I70" s="115" t="s">
        <v>13</v>
      </c>
      <c r="J70" s="116"/>
      <c r="K70" s="116">
        <f>K11+K12+K13+K15+K16+K17+K18+K22+K23+K24+K25+K31+K32+K33+K35+K36+K37+K40+K41+K42+K44+K46+K47+K50+K51+K52+K53+K54+K55+K56+K57+K58+K60+K48+U29</f>
        <v>2963391.6349999998</v>
      </c>
      <c r="L70" s="116"/>
      <c r="M70" s="116">
        <f>M11+M12+M13+M15+M16+M17+M18+M22+M23+M24+M25+M31+M32+M33+M35+M36+M37+M40+M41+M42+M44+M46+M47+M50+M51+M52+M53+M54+M55+M56+M57+M58+M60+M48+W29</f>
        <v>2672776.9719999991</v>
      </c>
      <c r="N70" s="116"/>
      <c r="O70" s="116">
        <f>O11+O12+O13+O15+O16+O17+O18+O22+O23+O24+O25+O31+O32+O33+O35+O36+O37+O40+O41+O42+O44+O46+O47+O50+O51+O52+O53+O54+O55+O56+O57+O58+O60+O48+U30</f>
        <v>2467029.588</v>
      </c>
      <c r="P70" s="116"/>
      <c r="Q70" s="116">
        <f>Q11+Q12+Q13+Q15+Q16+Q17+Q18+Q22+Q23+Q24+Q25+Q31+Q32+Q33+Q35+Q36+Q37+Q40+Q41+Q42+Q44+Q46+Q47+Q50+Q51+Q52+Q53+Q54+Q55+Q56+Q57+Q58+Q60+Q48+W30</f>
        <v>3086653.540000001</v>
      </c>
      <c r="R70" s="142"/>
      <c r="S70" s="95"/>
      <c r="T70" s="315"/>
    </row>
    <row r="71" spans="1:24" s="49" customFormat="1" ht="25.5" hidden="1" customHeight="1" x14ac:dyDescent="0.25">
      <c r="A71" s="303"/>
      <c r="B71" s="114" t="s">
        <v>397</v>
      </c>
      <c r="C71" s="91" t="s">
        <v>13</v>
      </c>
      <c r="D71" s="115" t="s">
        <v>13</v>
      </c>
      <c r="E71" s="115" t="s">
        <v>13</v>
      </c>
      <c r="F71" s="115"/>
      <c r="G71" s="115"/>
      <c r="H71" s="115"/>
      <c r="I71" s="115" t="s">
        <v>13</v>
      </c>
      <c r="J71" s="116"/>
      <c r="K71" s="116">
        <f>K62+K45+K38+K28+K27+K26+K20+K19+K63+K64+V29</f>
        <v>1648496.564</v>
      </c>
      <c r="L71" s="116"/>
      <c r="M71" s="116">
        <f>M62+M45+M38+M28+M27+M26+M20+M19+M63+M64+X29</f>
        <v>1186091.9280000001</v>
      </c>
      <c r="N71" s="116"/>
      <c r="O71" s="116">
        <f>O62+O45+O38+O28+O27+O26+O20+O19+O63+O64+V30</f>
        <v>833398.41200000001</v>
      </c>
      <c r="P71" s="116"/>
      <c r="Q71" s="116">
        <f>Q62+Q45+Q38+Q28+Q27+Q26+Q20+Q19+Q63+Q64+X30</f>
        <v>158929.86000000002</v>
      </c>
      <c r="R71" s="142"/>
      <c r="S71" s="95"/>
      <c r="T71" s="315"/>
    </row>
    <row r="72" spans="1:24" s="52" customFormat="1" ht="40.5" customHeight="1" x14ac:dyDescent="0.25">
      <c r="A72" s="117" t="s">
        <v>112</v>
      </c>
      <c r="B72" s="114" t="s">
        <v>398</v>
      </c>
      <c r="C72" s="91"/>
      <c r="D72" s="118"/>
      <c r="E72" s="115"/>
      <c r="F72" s="115"/>
      <c r="G72" s="115"/>
      <c r="H72" s="115"/>
      <c r="I72" s="115"/>
      <c r="J72" s="116"/>
      <c r="K72" s="116">
        <f>K73+K77+K87+K89+K90+K91+K92+K93+K94+K95+K96+K97+K98+K99</f>
        <v>1988675.4000000001</v>
      </c>
      <c r="L72" s="116">
        <f t="shared" ref="L72:Q72" si="0">L73+L77+L87+L89+L90+L91+L92+L93+L94+L95+L96+L97+L98+L99</f>
        <v>1988675.4000000001</v>
      </c>
      <c r="M72" s="116">
        <f t="shared" si="0"/>
        <v>2450051.1999999997</v>
      </c>
      <c r="N72" s="116"/>
      <c r="O72" s="116">
        <f t="shared" si="0"/>
        <v>2521084.6</v>
      </c>
      <c r="P72" s="116"/>
      <c r="Q72" s="116">
        <f t="shared" si="0"/>
        <v>2781432.4000000004</v>
      </c>
      <c r="R72" s="116"/>
      <c r="S72" s="116"/>
      <c r="T72" s="315"/>
    </row>
    <row r="73" spans="1:24" s="55" customFormat="1" ht="152.25" customHeight="1" x14ac:dyDescent="0.25">
      <c r="A73" s="59" t="s">
        <v>286</v>
      </c>
      <c r="B73" s="87" t="s">
        <v>113</v>
      </c>
      <c r="C73" s="91"/>
      <c r="D73" s="91" t="s">
        <v>399</v>
      </c>
      <c r="E73" s="56" t="s">
        <v>13</v>
      </c>
      <c r="F73" s="56"/>
      <c r="G73" s="56"/>
      <c r="H73" s="56"/>
      <c r="I73" s="59" t="s">
        <v>132</v>
      </c>
      <c r="J73" s="81">
        <f>SUM(J74:J75)</f>
        <v>7824</v>
      </c>
      <c r="K73" s="81">
        <v>3335.3</v>
      </c>
      <c r="L73" s="81">
        <v>3335.3</v>
      </c>
      <c r="M73" s="81">
        <f t="shared" ref="M73:Q73" si="1">SUM(M74:M75)</f>
        <v>5388.3</v>
      </c>
      <c r="N73" s="81"/>
      <c r="O73" s="81">
        <f t="shared" si="1"/>
        <v>5388.3</v>
      </c>
      <c r="P73" s="81"/>
      <c r="Q73" s="81">
        <f t="shared" si="1"/>
        <v>5388.1</v>
      </c>
      <c r="R73" s="81"/>
      <c r="S73" s="80"/>
      <c r="T73" s="315"/>
    </row>
    <row r="74" spans="1:24" s="49" customFormat="1" ht="40.5" customHeight="1" x14ac:dyDescent="0.25">
      <c r="A74" s="59" t="s">
        <v>400</v>
      </c>
      <c r="B74" s="88" t="s">
        <v>114</v>
      </c>
      <c r="C74" s="91" t="s">
        <v>13</v>
      </c>
      <c r="D74" s="91" t="s">
        <v>13</v>
      </c>
      <c r="E74" s="56">
        <v>43101</v>
      </c>
      <c r="F74" s="56">
        <v>43463</v>
      </c>
      <c r="G74" s="56">
        <v>43101</v>
      </c>
      <c r="H74" s="56">
        <v>43188</v>
      </c>
      <c r="I74" s="59" t="s">
        <v>132</v>
      </c>
      <c r="J74" s="81">
        <v>1600</v>
      </c>
      <c r="K74" s="81">
        <v>1513.5</v>
      </c>
      <c r="L74" s="81">
        <v>1513.5</v>
      </c>
      <c r="M74" s="81">
        <v>3040</v>
      </c>
      <c r="N74" s="81"/>
      <c r="O74" s="81">
        <v>3040</v>
      </c>
      <c r="P74" s="81"/>
      <c r="Q74" s="81">
        <v>3039.8</v>
      </c>
      <c r="R74" s="81"/>
      <c r="S74" s="133"/>
      <c r="T74" s="315"/>
    </row>
    <row r="75" spans="1:24" s="49" customFormat="1" ht="46.5" customHeight="1" x14ac:dyDescent="0.25">
      <c r="A75" s="59" t="s">
        <v>401</v>
      </c>
      <c r="B75" s="87" t="s">
        <v>115</v>
      </c>
      <c r="C75" s="91" t="s">
        <v>13</v>
      </c>
      <c r="D75" s="91" t="s">
        <v>13</v>
      </c>
      <c r="E75" s="56">
        <v>43101</v>
      </c>
      <c r="F75" s="56">
        <v>43463</v>
      </c>
      <c r="G75" s="56">
        <v>43101</v>
      </c>
      <c r="H75" s="56">
        <v>43188</v>
      </c>
      <c r="I75" s="59" t="s">
        <v>132</v>
      </c>
      <c r="J75" s="81">
        <v>6224</v>
      </c>
      <c r="K75" s="81">
        <v>1821.8</v>
      </c>
      <c r="L75" s="81">
        <v>1821.8</v>
      </c>
      <c r="M75" s="81">
        <v>2348.3000000000002</v>
      </c>
      <c r="N75" s="81"/>
      <c r="O75" s="81">
        <v>2348.3000000000002</v>
      </c>
      <c r="P75" s="81"/>
      <c r="Q75" s="81">
        <v>2348.3000000000002</v>
      </c>
      <c r="R75" s="81"/>
      <c r="S75" s="133"/>
      <c r="T75" s="315"/>
    </row>
    <row r="76" spans="1:24" s="49" customFormat="1" ht="86.25" customHeight="1" x14ac:dyDescent="0.25">
      <c r="A76" s="59" t="s">
        <v>402</v>
      </c>
      <c r="B76" s="87" t="s">
        <v>403</v>
      </c>
      <c r="C76" s="289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315"/>
    </row>
    <row r="77" spans="1:24" s="49" customFormat="1" ht="187.2" customHeight="1" x14ac:dyDescent="0.25">
      <c r="A77" s="59" t="s">
        <v>290</v>
      </c>
      <c r="B77" s="87" t="s">
        <v>116</v>
      </c>
      <c r="C77" s="91"/>
      <c r="D77" s="91" t="s">
        <v>404</v>
      </c>
      <c r="E77" s="59" t="s">
        <v>13</v>
      </c>
      <c r="F77" s="59"/>
      <c r="G77" s="59"/>
      <c r="H77" s="59"/>
      <c r="I77" s="59" t="s">
        <v>13</v>
      </c>
      <c r="J77" s="81">
        <f>SUM(J78:J81)</f>
        <v>9670913.6000000015</v>
      </c>
      <c r="K77" s="81">
        <f>SUM(K78:K81)</f>
        <v>1979119.1</v>
      </c>
      <c r="L77" s="81">
        <v>1979119.1</v>
      </c>
      <c r="M77" s="81">
        <f t="shared" ref="M77:Q77" si="2">SUM(M78:M81)</f>
        <v>2430142.6999999997</v>
      </c>
      <c r="N77" s="81"/>
      <c r="O77" s="81">
        <f t="shared" si="2"/>
        <v>2497378.2000000002</v>
      </c>
      <c r="P77" s="81"/>
      <c r="Q77" s="81">
        <f t="shared" si="2"/>
        <v>2764953.6000000001</v>
      </c>
      <c r="R77" s="81"/>
      <c r="S77" s="81"/>
      <c r="T77" s="313">
        <v>9</v>
      </c>
    </row>
    <row r="78" spans="1:24" s="52" customFormat="1" ht="21.15" customHeight="1" x14ac:dyDescent="0.25">
      <c r="A78" s="309" t="s">
        <v>405</v>
      </c>
      <c r="B78" s="325" t="s">
        <v>117</v>
      </c>
      <c r="C78" s="302" t="s">
        <v>13</v>
      </c>
      <c r="D78" s="302"/>
      <c r="E78" s="304">
        <v>43101</v>
      </c>
      <c r="F78" s="320">
        <v>43463</v>
      </c>
      <c r="G78" s="320">
        <v>43101</v>
      </c>
      <c r="H78" s="320">
        <v>43188</v>
      </c>
      <c r="I78" s="59" t="s">
        <v>133</v>
      </c>
      <c r="J78" s="81">
        <v>955395.9</v>
      </c>
      <c r="K78" s="81">
        <v>169165.7</v>
      </c>
      <c r="L78" s="81">
        <v>169165.7</v>
      </c>
      <c r="M78" s="81">
        <v>273153.59999999998</v>
      </c>
      <c r="N78" s="81"/>
      <c r="O78" s="81">
        <v>254663</v>
      </c>
      <c r="P78" s="81"/>
      <c r="Q78" s="81">
        <v>258413.6</v>
      </c>
      <c r="R78" s="137"/>
      <c r="S78" s="291"/>
      <c r="T78" s="315"/>
      <c r="W78" s="57" t="e">
        <f>W79+#REF!+#REF!+W80</f>
        <v>#REF!</v>
      </c>
    </row>
    <row r="79" spans="1:24" s="49" customFormat="1" ht="15.6" x14ac:dyDescent="0.25">
      <c r="A79" s="309"/>
      <c r="B79" s="330"/>
      <c r="C79" s="302"/>
      <c r="D79" s="302"/>
      <c r="E79" s="304"/>
      <c r="F79" s="321"/>
      <c r="G79" s="321"/>
      <c r="H79" s="321"/>
      <c r="I79" s="59" t="s">
        <v>134</v>
      </c>
      <c r="J79" s="81">
        <v>6200</v>
      </c>
      <c r="K79" s="81">
        <v>221.8</v>
      </c>
      <c r="L79" s="81">
        <v>221.8</v>
      </c>
      <c r="M79" s="81">
        <v>1700.2</v>
      </c>
      <c r="N79" s="81"/>
      <c r="O79" s="81">
        <v>1860</v>
      </c>
      <c r="P79" s="81"/>
      <c r="Q79" s="81">
        <v>2418</v>
      </c>
      <c r="R79" s="138"/>
      <c r="S79" s="292"/>
      <c r="T79" s="315"/>
      <c r="W79" s="58">
        <f>K78+M78+O78+Q78</f>
        <v>955395.9</v>
      </c>
      <c r="X79" s="58">
        <f>W79-J78</f>
        <v>0</v>
      </c>
    </row>
    <row r="80" spans="1:24" s="49" customFormat="1" ht="15.6" x14ac:dyDescent="0.25">
      <c r="A80" s="303"/>
      <c r="B80" s="326"/>
      <c r="C80" s="303"/>
      <c r="D80" s="303"/>
      <c r="E80" s="303"/>
      <c r="F80" s="322"/>
      <c r="G80" s="322"/>
      <c r="H80" s="322"/>
      <c r="I80" s="59" t="s">
        <v>135</v>
      </c>
      <c r="J80" s="81">
        <v>485.1</v>
      </c>
      <c r="K80" s="81">
        <v>93.5</v>
      </c>
      <c r="L80" s="81">
        <v>93.5</v>
      </c>
      <c r="M80" s="81">
        <v>109.5</v>
      </c>
      <c r="N80" s="81"/>
      <c r="O80" s="81">
        <v>146.19999999999999</v>
      </c>
      <c r="P80" s="81"/>
      <c r="Q80" s="81">
        <v>135.9</v>
      </c>
      <c r="R80" s="139"/>
      <c r="S80" s="308"/>
      <c r="T80" s="315"/>
      <c r="W80" s="58">
        <f>K79+M79+O79+Q79</f>
        <v>6200</v>
      </c>
      <c r="X80" s="58">
        <f>W80-J79</f>
        <v>0</v>
      </c>
    </row>
    <row r="81" spans="1:29" s="49" customFormat="1" ht="46.8" x14ac:dyDescent="0.25">
      <c r="A81" s="59" t="s">
        <v>406</v>
      </c>
      <c r="B81" s="88" t="s">
        <v>118</v>
      </c>
      <c r="C81" s="91" t="s">
        <v>13</v>
      </c>
      <c r="D81" s="91"/>
      <c r="E81" s="59" t="s">
        <v>13</v>
      </c>
      <c r="F81" s="59"/>
      <c r="G81" s="59"/>
      <c r="H81" s="59"/>
      <c r="I81" s="59" t="s">
        <v>13</v>
      </c>
      <c r="J81" s="81">
        <f>SUM(J82:J84)</f>
        <v>8708832.6000000015</v>
      </c>
      <c r="K81" s="81">
        <f>K82+K83+K84+K85</f>
        <v>1809638.1</v>
      </c>
      <c r="L81" s="81">
        <v>1809638.1</v>
      </c>
      <c r="M81" s="81">
        <f>SUM(M82:M84)</f>
        <v>2155179.4</v>
      </c>
      <c r="N81" s="81"/>
      <c r="O81" s="81">
        <f>O82+O83+O84+O85</f>
        <v>2240709</v>
      </c>
      <c r="P81" s="81"/>
      <c r="Q81" s="81">
        <f>SUM(Q82:Q84)</f>
        <v>2503986.1</v>
      </c>
      <c r="R81" s="81"/>
      <c r="S81" s="81"/>
      <c r="T81" s="315"/>
      <c r="W81" s="58"/>
      <c r="X81" s="58"/>
    </row>
    <row r="82" spans="1:29" s="52" customFormat="1" ht="50.25" customHeight="1" x14ac:dyDescent="0.25">
      <c r="A82" s="59" t="s">
        <v>407</v>
      </c>
      <c r="B82" s="88" t="s">
        <v>119</v>
      </c>
      <c r="C82" s="91"/>
      <c r="D82" s="91"/>
      <c r="E82" s="56">
        <v>43101</v>
      </c>
      <c r="F82" s="56">
        <v>43463</v>
      </c>
      <c r="G82" s="56">
        <v>43101</v>
      </c>
      <c r="H82" s="56">
        <v>43188</v>
      </c>
      <c r="I82" s="59" t="s">
        <v>133</v>
      </c>
      <c r="J82" s="81">
        <v>8615896.8000000007</v>
      </c>
      <c r="K82" s="81">
        <v>1798342.3</v>
      </c>
      <c r="L82" s="81">
        <v>1798342.3</v>
      </c>
      <c r="M82" s="81">
        <v>2125832.9</v>
      </c>
      <c r="N82" s="81"/>
      <c r="O82" s="81">
        <v>2214687</v>
      </c>
      <c r="P82" s="81"/>
      <c r="Q82" s="81">
        <v>2477034.6</v>
      </c>
      <c r="R82" s="81"/>
      <c r="S82" s="81"/>
      <c r="T82" s="315"/>
      <c r="W82" s="57"/>
      <c r="X82" s="57"/>
    </row>
    <row r="83" spans="1:29" s="49" customFormat="1" ht="33.15" customHeight="1" x14ac:dyDescent="0.25">
      <c r="A83" s="59" t="s">
        <v>408</v>
      </c>
      <c r="B83" s="88" t="s">
        <v>120</v>
      </c>
      <c r="C83" s="91"/>
      <c r="D83" s="91"/>
      <c r="E83" s="56">
        <v>43101</v>
      </c>
      <c r="F83" s="56">
        <v>43463</v>
      </c>
      <c r="G83" s="56">
        <v>43101</v>
      </c>
      <c r="H83" s="56">
        <v>43188</v>
      </c>
      <c r="I83" s="59" t="s">
        <v>134</v>
      </c>
      <c r="J83" s="81">
        <v>70059.399999999994</v>
      </c>
      <c r="K83" s="81">
        <v>6028</v>
      </c>
      <c r="L83" s="81">
        <v>6028</v>
      </c>
      <c r="M83" s="81">
        <v>24097.5</v>
      </c>
      <c r="N83" s="81"/>
      <c r="O83" s="81">
        <v>19616.599999999999</v>
      </c>
      <c r="P83" s="81"/>
      <c r="Q83" s="81">
        <v>20317.3</v>
      </c>
      <c r="R83" s="81"/>
      <c r="S83" s="81"/>
      <c r="T83" s="315"/>
      <c r="AC83" s="58">
        <f>J82-K82-M82-O82-Q82</f>
        <v>0</v>
      </c>
    </row>
    <row r="84" spans="1:29" s="49" customFormat="1" ht="117.15" customHeight="1" x14ac:dyDescent="0.25">
      <c r="A84" s="59" t="s">
        <v>409</v>
      </c>
      <c r="B84" s="88" t="s">
        <v>121</v>
      </c>
      <c r="C84" s="91"/>
      <c r="D84" s="91"/>
      <c r="E84" s="56">
        <v>43101</v>
      </c>
      <c r="F84" s="56">
        <v>43463</v>
      </c>
      <c r="G84" s="56">
        <v>43101</v>
      </c>
      <c r="H84" s="56">
        <v>43188</v>
      </c>
      <c r="I84" s="59" t="s">
        <v>135</v>
      </c>
      <c r="J84" s="81">
        <v>22876.400000000001</v>
      </c>
      <c r="K84" s="81">
        <v>4587.8</v>
      </c>
      <c r="L84" s="81">
        <v>4587.8</v>
      </c>
      <c r="M84" s="81">
        <v>5249</v>
      </c>
      <c r="N84" s="81"/>
      <c r="O84" s="81">
        <v>6405.4</v>
      </c>
      <c r="P84" s="81"/>
      <c r="Q84" s="81">
        <v>6634.2</v>
      </c>
      <c r="R84" s="81"/>
      <c r="S84" s="81"/>
      <c r="T84" s="315"/>
      <c r="AC84" s="58">
        <f>J83-K83-M83-O83-Q83</f>
        <v>0</v>
      </c>
    </row>
    <row r="85" spans="1:29" s="49" customFormat="1" ht="47.25" customHeight="1" x14ac:dyDescent="0.25">
      <c r="A85" s="59" t="s">
        <v>410</v>
      </c>
      <c r="B85" s="88" t="s">
        <v>122</v>
      </c>
      <c r="C85" s="91"/>
      <c r="D85" s="91"/>
      <c r="E85" s="56">
        <v>43101</v>
      </c>
      <c r="F85" s="56">
        <v>43463</v>
      </c>
      <c r="G85" s="56">
        <v>43101</v>
      </c>
      <c r="H85" s="56">
        <v>43188</v>
      </c>
      <c r="I85" s="59" t="s">
        <v>133</v>
      </c>
      <c r="J85" s="81">
        <v>680</v>
      </c>
      <c r="K85" s="81">
        <v>680</v>
      </c>
      <c r="L85" s="81">
        <v>680</v>
      </c>
      <c r="M85" s="81">
        <v>0</v>
      </c>
      <c r="N85" s="81"/>
      <c r="O85" s="81">
        <v>0</v>
      </c>
      <c r="P85" s="81"/>
      <c r="Q85" s="81">
        <v>0</v>
      </c>
      <c r="R85" s="81"/>
      <c r="S85" s="81"/>
      <c r="T85" s="315"/>
      <c r="AC85" s="58">
        <f>J84-K84-M84-O84-Q84</f>
        <v>0</v>
      </c>
    </row>
    <row r="86" spans="1:29" s="49" customFormat="1" ht="60.75" customHeight="1" x14ac:dyDescent="0.25">
      <c r="A86" s="59" t="s">
        <v>411</v>
      </c>
      <c r="B86" s="88" t="s">
        <v>412</v>
      </c>
      <c r="C86" s="289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315"/>
      <c r="AC86" s="58"/>
    </row>
    <row r="87" spans="1:29" s="49" customFormat="1" ht="55.5" customHeight="1" x14ac:dyDescent="0.25">
      <c r="A87" s="309" t="s">
        <v>293</v>
      </c>
      <c r="B87" s="311" t="s">
        <v>123</v>
      </c>
      <c r="C87" s="302">
        <v>1</v>
      </c>
      <c r="D87" s="302" t="s">
        <v>413</v>
      </c>
      <c r="E87" s="304">
        <v>43132</v>
      </c>
      <c r="F87" s="320">
        <v>43463</v>
      </c>
      <c r="G87" s="320">
        <v>43101</v>
      </c>
      <c r="H87" s="320">
        <v>43188</v>
      </c>
      <c r="I87" s="309" t="s">
        <v>136</v>
      </c>
      <c r="J87" s="329">
        <v>34400</v>
      </c>
      <c r="K87" s="329">
        <v>1500</v>
      </c>
      <c r="L87" s="329">
        <v>1500</v>
      </c>
      <c r="M87" s="329">
        <v>0</v>
      </c>
      <c r="N87" s="81"/>
      <c r="O87" s="329">
        <v>0</v>
      </c>
      <c r="P87" s="81"/>
      <c r="Q87" s="329">
        <v>0</v>
      </c>
      <c r="R87" s="135"/>
      <c r="S87" s="306"/>
      <c r="T87" s="315"/>
    </row>
    <row r="88" spans="1:29" s="49" customFormat="1" ht="97.5" customHeight="1" x14ac:dyDescent="0.25">
      <c r="A88" s="317"/>
      <c r="B88" s="328"/>
      <c r="C88" s="317"/>
      <c r="D88" s="317"/>
      <c r="E88" s="317"/>
      <c r="F88" s="322"/>
      <c r="G88" s="322"/>
      <c r="H88" s="322"/>
      <c r="I88" s="317"/>
      <c r="J88" s="317"/>
      <c r="K88" s="317"/>
      <c r="L88" s="317"/>
      <c r="M88" s="317"/>
      <c r="N88" s="122"/>
      <c r="O88" s="317"/>
      <c r="P88" s="122"/>
      <c r="Q88" s="317"/>
      <c r="R88" s="147"/>
      <c r="S88" s="307"/>
      <c r="T88" s="315"/>
    </row>
    <row r="89" spans="1:29" s="49" customFormat="1" ht="128.25" customHeight="1" x14ac:dyDescent="0.25">
      <c r="A89" s="59" t="s">
        <v>414</v>
      </c>
      <c r="B89" s="87" t="s">
        <v>124</v>
      </c>
      <c r="C89" s="91">
        <v>1</v>
      </c>
      <c r="D89" s="91" t="s">
        <v>415</v>
      </c>
      <c r="E89" s="56">
        <v>43101</v>
      </c>
      <c r="F89" s="56">
        <v>43463</v>
      </c>
      <c r="G89" s="56">
        <v>43101</v>
      </c>
      <c r="H89" s="56">
        <v>43188</v>
      </c>
      <c r="I89" s="59" t="s">
        <v>137</v>
      </c>
      <c r="J89" s="81">
        <v>0</v>
      </c>
      <c r="K89" s="81">
        <v>1200</v>
      </c>
      <c r="L89" s="81">
        <v>1200</v>
      </c>
      <c r="M89" s="81">
        <v>2814.5</v>
      </c>
      <c r="N89" s="81"/>
      <c r="O89" s="81">
        <v>4066.7</v>
      </c>
      <c r="P89" s="81"/>
      <c r="Q89" s="81">
        <v>4066.7</v>
      </c>
      <c r="R89" s="94"/>
      <c r="S89" s="97"/>
      <c r="T89" s="313">
        <v>10</v>
      </c>
    </row>
    <row r="90" spans="1:29" s="49" customFormat="1" ht="180.75" customHeight="1" x14ac:dyDescent="0.25">
      <c r="A90" s="59" t="s">
        <v>416</v>
      </c>
      <c r="B90" s="87" t="s">
        <v>125</v>
      </c>
      <c r="C90" s="91">
        <v>1</v>
      </c>
      <c r="D90" s="91" t="s">
        <v>417</v>
      </c>
      <c r="E90" s="56">
        <v>43101</v>
      </c>
      <c r="F90" s="56">
        <v>43463</v>
      </c>
      <c r="G90" s="56">
        <v>43101</v>
      </c>
      <c r="H90" s="56">
        <v>43188</v>
      </c>
      <c r="I90" s="59" t="s">
        <v>137</v>
      </c>
      <c r="J90" s="81"/>
      <c r="K90" s="81">
        <v>0</v>
      </c>
      <c r="L90" s="81">
        <v>0</v>
      </c>
      <c r="M90" s="81">
        <f>990+2010</f>
        <v>3000</v>
      </c>
      <c r="N90" s="81"/>
      <c r="O90" s="81">
        <v>3265</v>
      </c>
      <c r="P90" s="81"/>
      <c r="Q90" s="81">
        <v>3265</v>
      </c>
      <c r="R90" s="81"/>
      <c r="S90" s="80"/>
      <c r="T90" s="315"/>
    </row>
    <row r="91" spans="1:29" s="49" customFormat="1" ht="141.75" customHeight="1" x14ac:dyDescent="0.25">
      <c r="A91" s="59" t="s">
        <v>418</v>
      </c>
      <c r="B91" s="87" t="s">
        <v>126</v>
      </c>
      <c r="C91" s="91">
        <v>1</v>
      </c>
      <c r="D91" s="91" t="s">
        <v>419</v>
      </c>
      <c r="E91" s="56">
        <v>43101</v>
      </c>
      <c r="F91" s="56">
        <v>43463</v>
      </c>
      <c r="G91" s="56">
        <v>43101</v>
      </c>
      <c r="H91" s="56">
        <v>43188</v>
      </c>
      <c r="I91" s="59" t="s">
        <v>137</v>
      </c>
      <c r="J91" s="81">
        <v>15000</v>
      </c>
      <c r="K91" s="81">
        <v>0</v>
      </c>
      <c r="L91" s="81">
        <v>0</v>
      </c>
      <c r="M91" s="81">
        <v>1500</v>
      </c>
      <c r="N91" s="81"/>
      <c r="O91" s="81">
        <v>1500</v>
      </c>
      <c r="P91" s="81"/>
      <c r="Q91" s="81">
        <v>0</v>
      </c>
      <c r="R91" s="81"/>
      <c r="S91" s="80"/>
      <c r="T91" s="315"/>
    </row>
    <row r="92" spans="1:29" s="49" customFormat="1" ht="135.15" customHeight="1" x14ac:dyDescent="0.25">
      <c r="A92" s="59" t="s">
        <v>420</v>
      </c>
      <c r="B92" s="87" t="s">
        <v>421</v>
      </c>
      <c r="C92" s="91">
        <v>1</v>
      </c>
      <c r="D92" s="91" t="s">
        <v>419</v>
      </c>
      <c r="E92" s="56">
        <v>43101</v>
      </c>
      <c r="F92" s="89">
        <v>43463</v>
      </c>
      <c r="G92" s="89">
        <v>43101</v>
      </c>
      <c r="H92" s="89">
        <v>43188</v>
      </c>
      <c r="I92" s="119" t="s">
        <v>137</v>
      </c>
      <c r="J92" s="81">
        <v>1000</v>
      </c>
      <c r="K92" s="81">
        <v>0</v>
      </c>
      <c r="L92" s="81">
        <v>0</v>
      </c>
      <c r="M92" s="81">
        <v>0</v>
      </c>
      <c r="N92" s="81"/>
      <c r="O92" s="81">
        <v>2884.1</v>
      </c>
      <c r="P92" s="81"/>
      <c r="Q92" s="81">
        <v>0</v>
      </c>
      <c r="R92" s="81"/>
      <c r="S92" s="80"/>
      <c r="T92" s="315"/>
    </row>
    <row r="93" spans="1:29" s="49" customFormat="1" ht="132.75" customHeight="1" x14ac:dyDescent="0.25">
      <c r="A93" s="59" t="s">
        <v>422</v>
      </c>
      <c r="B93" s="87" t="s">
        <v>127</v>
      </c>
      <c r="C93" s="91">
        <v>1</v>
      </c>
      <c r="D93" s="91" t="s">
        <v>419</v>
      </c>
      <c r="E93" s="60">
        <v>43101</v>
      </c>
      <c r="F93" s="60">
        <v>43463</v>
      </c>
      <c r="G93" s="60">
        <v>43101</v>
      </c>
      <c r="H93" s="60">
        <v>43188</v>
      </c>
      <c r="I93" s="59" t="s">
        <v>138</v>
      </c>
      <c r="J93" s="120">
        <v>1000</v>
      </c>
      <c r="K93" s="81">
        <v>0</v>
      </c>
      <c r="L93" s="81">
        <v>0</v>
      </c>
      <c r="M93" s="81">
        <v>350</v>
      </c>
      <c r="N93" s="81"/>
      <c r="O93" s="81">
        <v>350</v>
      </c>
      <c r="P93" s="81"/>
      <c r="Q93" s="81">
        <v>0</v>
      </c>
      <c r="R93" s="94"/>
      <c r="S93" s="97"/>
      <c r="T93" s="315"/>
    </row>
    <row r="94" spans="1:29" s="49" customFormat="1" ht="132" customHeight="1" x14ac:dyDescent="0.25">
      <c r="A94" s="59" t="s">
        <v>423</v>
      </c>
      <c r="B94" s="87" t="s">
        <v>128</v>
      </c>
      <c r="C94" s="91"/>
      <c r="D94" s="91" t="s">
        <v>419</v>
      </c>
      <c r="E94" s="60">
        <v>43101</v>
      </c>
      <c r="F94" s="60">
        <v>43463</v>
      </c>
      <c r="G94" s="60">
        <v>43101</v>
      </c>
      <c r="H94" s="60">
        <v>43188</v>
      </c>
      <c r="I94" s="59" t="s">
        <v>138</v>
      </c>
      <c r="J94" s="121">
        <v>15778.8</v>
      </c>
      <c r="K94" s="81">
        <v>3521</v>
      </c>
      <c r="L94" s="81">
        <v>3521</v>
      </c>
      <c r="M94" s="81">
        <v>3560</v>
      </c>
      <c r="N94" s="81"/>
      <c r="O94" s="81">
        <v>3560</v>
      </c>
      <c r="P94" s="81"/>
      <c r="Q94" s="81">
        <v>3559.9</v>
      </c>
      <c r="R94" s="81"/>
      <c r="S94" s="80"/>
      <c r="T94" s="315"/>
    </row>
    <row r="95" spans="1:29" s="49" customFormat="1" ht="153.75" customHeight="1" x14ac:dyDescent="0.25">
      <c r="A95" s="59" t="s">
        <v>424</v>
      </c>
      <c r="B95" s="87" t="s">
        <v>129</v>
      </c>
      <c r="C95" s="91"/>
      <c r="D95" s="91" t="s">
        <v>419</v>
      </c>
      <c r="E95" s="60">
        <v>43101</v>
      </c>
      <c r="F95" s="60">
        <v>43463</v>
      </c>
      <c r="G95" s="60">
        <v>43101</v>
      </c>
      <c r="H95" s="60">
        <v>43188</v>
      </c>
      <c r="I95" s="59" t="s">
        <v>138</v>
      </c>
      <c r="J95" s="121">
        <v>1200</v>
      </c>
      <c r="K95" s="81">
        <v>0</v>
      </c>
      <c r="L95" s="81">
        <v>0</v>
      </c>
      <c r="M95" s="81">
        <v>1000</v>
      </c>
      <c r="N95" s="81"/>
      <c r="O95" s="81">
        <v>0</v>
      </c>
      <c r="P95" s="81"/>
      <c r="Q95" s="81">
        <v>0</v>
      </c>
      <c r="R95" s="81"/>
      <c r="S95" s="80"/>
      <c r="T95" s="313">
        <v>11</v>
      </c>
    </row>
    <row r="96" spans="1:29" s="49" customFormat="1" ht="126.75" customHeight="1" x14ac:dyDescent="0.25">
      <c r="A96" s="59"/>
      <c r="B96" s="87" t="s">
        <v>130</v>
      </c>
      <c r="C96" s="91"/>
      <c r="D96" s="91" t="s">
        <v>413</v>
      </c>
      <c r="E96" s="60">
        <v>43101</v>
      </c>
      <c r="F96" s="60">
        <v>43463</v>
      </c>
      <c r="G96" s="60">
        <v>43101</v>
      </c>
      <c r="H96" s="60">
        <v>43188</v>
      </c>
      <c r="I96" s="59" t="s">
        <v>136</v>
      </c>
      <c r="J96" s="121"/>
      <c r="K96" s="81">
        <v>0</v>
      </c>
      <c r="L96" s="81">
        <v>0</v>
      </c>
      <c r="M96" s="81">
        <v>2000</v>
      </c>
      <c r="N96" s="81"/>
      <c r="O96" s="81">
        <f>2000+500</f>
        <v>2500</v>
      </c>
      <c r="P96" s="81"/>
      <c r="Q96" s="81">
        <v>0</v>
      </c>
      <c r="R96" s="81"/>
      <c r="S96" s="81"/>
      <c r="T96" s="313"/>
    </row>
    <row r="97" spans="1:20" s="49" customFormat="1" ht="64.95" customHeight="1" x14ac:dyDescent="0.25">
      <c r="A97" s="59"/>
      <c r="B97" s="87" t="s">
        <v>221</v>
      </c>
      <c r="C97" s="91"/>
      <c r="D97" s="122"/>
      <c r="E97" s="60"/>
      <c r="F97" s="60"/>
      <c r="G97" s="60"/>
      <c r="H97" s="60"/>
      <c r="I97" s="122"/>
      <c r="J97" s="121"/>
      <c r="K97" s="81">
        <v>0</v>
      </c>
      <c r="L97" s="81">
        <v>0</v>
      </c>
      <c r="M97" s="81">
        <v>0</v>
      </c>
      <c r="N97" s="81"/>
      <c r="O97" s="81">
        <v>0</v>
      </c>
      <c r="P97" s="81"/>
      <c r="Q97" s="81">
        <v>0</v>
      </c>
      <c r="R97" s="81"/>
      <c r="S97" s="81"/>
      <c r="T97" s="313"/>
    </row>
    <row r="98" spans="1:20" s="49" customFormat="1" ht="64.95" customHeight="1" x14ac:dyDescent="0.25">
      <c r="A98" s="59" t="s">
        <v>278</v>
      </c>
      <c r="B98" s="87" t="s">
        <v>425</v>
      </c>
      <c r="C98" s="91"/>
      <c r="D98" s="91"/>
      <c r="E98" s="60"/>
      <c r="F98" s="60"/>
      <c r="G98" s="60"/>
      <c r="H98" s="60"/>
      <c r="I98" s="59"/>
      <c r="J98" s="121"/>
      <c r="K98" s="81"/>
      <c r="L98" s="81"/>
      <c r="M98" s="81"/>
      <c r="N98" s="81"/>
      <c r="O98" s="81"/>
      <c r="P98" s="81"/>
      <c r="Q98" s="81"/>
      <c r="R98" s="81"/>
      <c r="S98" s="81"/>
      <c r="T98" s="313"/>
    </row>
    <row r="99" spans="1:20" s="49" customFormat="1" ht="124.35" customHeight="1" x14ac:dyDescent="0.25">
      <c r="A99" s="59" t="s">
        <v>353</v>
      </c>
      <c r="B99" s="87" t="s">
        <v>131</v>
      </c>
      <c r="C99" s="91"/>
      <c r="D99" s="91"/>
      <c r="E99" s="60"/>
      <c r="F99" s="60"/>
      <c r="G99" s="60"/>
      <c r="H99" s="60"/>
      <c r="I99" s="59" t="s">
        <v>139</v>
      </c>
      <c r="J99" s="121">
        <v>687.1</v>
      </c>
      <c r="K99" s="81">
        <v>0</v>
      </c>
      <c r="L99" s="81">
        <v>0</v>
      </c>
      <c r="M99" s="81">
        <f>171.8+123.9</f>
        <v>295.70000000000005</v>
      </c>
      <c r="N99" s="81"/>
      <c r="O99" s="81">
        <v>192.3</v>
      </c>
      <c r="P99" s="81"/>
      <c r="Q99" s="81">
        <v>199.1</v>
      </c>
      <c r="R99" s="81"/>
      <c r="S99" s="81"/>
      <c r="T99" s="313"/>
    </row>
    <row r="100" spans="1:20" s="49" customFormat="1" ht="25.5" customHeight="1" x14ac:dyDescent="0.25">
      <c r="A100" s="59"/>
      <c r="B100" s="87" t="s">
        <v>426</v>
      </c>
      <c r="C100" s="91" t="s">
        <v>13</v>
      </c>
      <c r="D100" s="91" t="s">
        <v>13</v>
      </c>
      <c r="E100" s="91" t="s">
        <v>13</v>
      </c>
      <c r="F100" s="123"/>
      <c r="G100" s="123"/>
      <c r="H100" s="123"/>
      <c r="I100" s="124" t="s">
        <v>13</v>
      </c>
      <c r="J100" s="81" t="s">
        <v>13</v>
      </c>
      <c r="K100" s="81" t="s">
        <v>13</v>
      </c>
      <c r="L100" s="81"/>
      <c r="M100" s="81" t="s">
        <v>13</v>
      </c>
      <c r="N100" s="81"/>
      <c r="O100" s="81" t="s">
        <v>13</v>
      </c>
      <c r="P100" s="81"/>
      <c r="Q100" s="81" t="s">
        <v>13</v>
      </c>
      <c r="R100" s="94"/>
      <c r="S100" s="69"/>
      <c r="T100" s="315"/>
    </row>
    <row r="101" spans="1:20" s="49" customFormat="1" ht="117.75" customHeight="1" x14ac:dyDescent="0.25">
      <c r="A101" s="59"/>
      <c r="B101" s="87" t="s">
        <v>427</v>
      </c>
      <c r="C101" s="91">
        <v>1</v>
      </c>
      <c r="D101" s="91" t="s">
        <v>394</v>
      </c>
      <c r="E101" s="56">
        <v>43101</v>
      </c>
      <c r="F101" s="56">
        <v>43463</v>
      </c>
      <c r="G101" s="56">
        <v>43101</v>
      </c>
      <c r="H101" s="56">
        <v>43188</v>
      </c>
      <c r="I101" s="59" t="s">
        <v>13</v>
      </c>
      <c r="J101" s="81" t="s">
        <v>13</v>
      </c>
      <c r="K101" s="81" t="s">
        <v>13</v>
      </c>
      <c r="L101" s="81"/>
      <c r="M101" s="81" t="s">
        <v>13</v>
      </c>
      <c r="N101" s="81"/>
      <c r="O101" s="81" t="s">
        <v>13</v>
      </c>
      <c r="P101" s="81"/>
      <c r="Q101" s="81" t="s">
        <v>13</v>
      </c>
      <c r="R101" s="81"/>
      <c r="S101" s="51"/>
      <c r="T101" s="315"/>
    </row>
    <row r="102" spans="1:20" s="49" customFormat="1" ht="27.15" customHeight="1" x14ac:dyDescent="0.25">
      <c r="A102" s="59"/>
      <c r="B102" s="87" t="s">
        <v>428</v>
      </c>
      <c r="C102" s="91" t="s">
        <v>13</v>
      </c>
      <c r="D102" s="91" t="s">
        <v>13</v>
      </c>
      <c r="E102" s="91" t="s">
        <v>13</v>
      </c>
      <c r="F102" s="91"/>
      <c r="G102" s="91"/>
      <c r="H102" s="91"/>
      <c r="I102" s="59" t="s">
        <v>13</v>
      </c>
      <c r="J102" s="81" t="s">
        <v>13</v>
      </c>
      <c r="K102" s="81" t="s">
        <v>13</v>
      </c>
      <c r="L102" s="81"/>
      <c r="M102" s="81" t="s">
        <v>13</v>
      </c>
      <c r="N102" s="81"/>
      <c r="O102" s="81" t="s">
        <v>13</v>
      </c>
      <c r="P102" s="81"/>
      <c r="Q102" s="81" t="s">
        <v>13</v>
      </c>
      <c r="R102" s="81"/>
      <c r="S102" s="51"/>
      <c r="T102" s="315"/>
    </row>
    <row r="103" spans="1:20" s="49" customFormat="1" ht="77.25" customHeight="1" x14ac:dyDescent="0.25">
      <c r="A103" s="59"/>
      <c r="B103" s="87" t="s">
        <v>429</v>
      </c>
      <c r="C103" s="91">
        <v>1</v>
      </c>
      <c r="D103" s="91" t="s">
        <v>394</v>
      </c>
      <c r="E103" s="56">
        <v>43101</v>
      </c>
      <c r="F103" s="56">
        <v>43463</v>
      </c>
      <c r="G103" s="56">
        <v>43101</v>
      </c>
      <c r="H103" s="56">
        <v>43188</v>
      </c>
      <c r="I103" s="59" t="s">
        <v>13</v>
      </c>
      <c r="J103" s="81" t="s">
        <v>13</v>
      </c>
      <c r="K103" s="81" t="s">
        <v>13</v>
      </c>
      <c r="L103" s="81"/>
      <c r="M103" s="81" t="s">
        <v>13</v>
      </c>
      <c r="N103" s="81"/>
      <c r="O103" s="81" t="s">
        <v>13</v>
      </c>
      <c r="P103" s="81"/>
      <c r="Q103" s="81" t="s">
        <v>13</v>
      </c>
      <c r="R103" s="81"/>
      <c r="S103" s="51"/>
      <c r="T103" s="315"/>
    </row>
    <row r="104" spans="1:20" s="49" customFormat="1" ht="24" customHeight="1" x14ac:dyDescent="0.25">
      <c r="A104" s="59"/>
      <c r="B104" s="87" t="s">
        <v>430</v>
      </c>
      <c r="C104" s="91" t="s">
        <v>13</v>
      </c>
      <c r="D104" s="91" t="s">
        <v>13</v>
      </c>
      <c r="E104" s="91" t="s">
        <v>13</v>
      </c>
      <c r="F104" s="91"/>
      <c r="G104" s="91"/>
      <c r="H104" s="91"/>
      <c r="I104" s="59" t="s">
        <v>13</v>
      </c>
      <c r="J104" s="81" t="s">
        <v>13</v>
      </c>
      <c r="K104" s="81" t="s">
        <v>13</v>
      </c>
      <c r="L104" s="81"/>
      <c r="M104" s="81" t="s">
        <v>13</v>
      </c>
      <c r="N104" s="81"/>
      <c r="O104" s="81" t="s">
        <v>13</v>
      </c>
      <c r="P104" s="81"/>
      <c r="Q104" s="81" t="s">
        <v>13</v>
      </c>
      <c r="R104" s="81"/>
      <c r="S104" s="51"/>
      <c r="T104" s="315"/>
    </row>
    <row r="105" spans="1:20" s="49" customFormat="1" ht="66.75" customHeight="1" x14ac:dyDescent="0.25">
      <c r="A105" s="59"/>
      <c r="B105" s="87" t="s">
        <v>431</v>
      </c>
      <c r="C105" s="91"/>
      <c r="D105" s="91" t="s">
        <v>394</v>
      </c>
      <c r="E105" s="56">
        <v>43101</v>
      </c>
      <c r="F105" s="56">
        <v>43463</v>
      </c>
      <c r="G105" s="56">
        <v>43101</v>
      </c>
      <c r="H105" s="56">
        <v>43188</v>
      </c>
      <c r="I105" s="59" t="s">
        <v>13</v>
      </c>
      <c r="J105" s="81" t="s">
        <v>13</v>
      </c>
      <c r="K105" s="81" t="s">
        <v>13</v>
      </c>
      <c r="L105" s="81"/>
      <c r="M105" s="81" t="s">
        <v>13</v>
      </c>
      <c r="N105" s="81"/>
      <c r="O105" s="81" t="s">
        <v>13</v>
      </c>
      <c r="P105" s="81"/>
      <c r="Q105" s="81" t="s">
        <v>13</v>
      </c>
      <c r="R105" s="81"/>
      <c r="S105" s="51"/>
      <c r="T105" s="315"/>
    </row>
    <row r="106" spans="1:20" s="49" customFormat="1" ht="72" customHeight="1" x14ac:dyDescent="0.25">
      <c r="A106" s="59"/>
      <c r="B106" s="87" t="s">
        <v>432</v>
      </c>
      <c r="C106" s="91" t="s">
        <v>13</v>
      </c>
      <c r="D106" s="91" t="s">
        <v>13</v>
      </c>
      <c r="E106" s="91" t="s">
        <v>13</v>
      </c>
      <c r="F106" s="91"/>
      <c r="G106" s="91"/>
      <c r="H106" s="91"/>
      <c r="I106" s="59" t="s">
        <v>13</v>
      </c>
      <c r="J106" s="81" t="s">
        <v>13</v>
      </c>
      <c r="K106" s="81" t="s">
        <v>13</v>
      </c>
      <c r="L106" s="81"/>
      <c r="M106" s="81" t="s">
        <v>13</v>
      </c>
      <c r="N106" s="81"/>
      <c r="O106" s="81" t="s">
        <v>13</v>
      </c>
      <c r="P106" s="81"/>
      <c r="Q106" s="81" t="s">
        <v>13</v>
      </c>
      <c r="R106" s="81"/>
      <c r="S106" s="51"/>
      <c r="T106" s="315"/>
    </row>
    <row r="107" spans="1:20" s="49" customFormat="1" ht="116.25" customHeight="1" x14ac:dyDescent="0.25">
      <c r="A107" s="59"/>
      <c r="B107" s="87" t="s">
        <v>433</v>
      </c>
      <c r="C107" s="91">
        <v>1</v>
      </c>
      <c r="D107" s="91" t="s">
        <v>394</v>
      </c>
      <c r="E107" s="56">
        <v>43101</v>
      </c>
      <c r="F107" s="56">
        <v>43463</v>
      </c>
      <c r="G107" s="56">
        <v>43101</v>
      </c>
      <c r="H107" s="56">
        <v>43188</v>
      </c>
      <c r="I107" s="59" t="s">
        <v>13</v>
      </c>
      <c r="J107" s="81" t="s">
        <v>13</v>
      </c>
      <c r="K107" s="81" t="s">
        <v>13</v>
      </c>
      <c r="L107" s="81"/>
      <c r="M107" s="81" t="s">
        <v>13</v>
      </c>
      <c r="N107" s="81"/>
      <c r="O107" s="81" t="s">
        <v>13</v>
      </c>
      <c r="P107" s="81"/>
      <c r="Q107" s="81" t="s">
        <v>13</v>
      </c>
      <c r="R107" s="81"/>
      <c r="S107" s="51"/>
      <c r="T107" s="315"/>
    </row>
    <row r="108" spans="1:20" s="49" customFormat="1" ht="23.25" hidden="1" customHeight="1" x14ac:dyDescent="0.25">
      <c r="A108" s="111"/>
      <c r="B108" s="114" t="s">
        <v>395</v>
      </c>
      <c r="C108" s="115" t="s">
        <v>13</v>
      </c>
      <c r="D108" s="115" t="s">
        <v>13</v>
      </c>
      <c r="E108" s="115" t="s">
        <v>389</v>
      </c>
      <c r="F108" s="115"/>
      <c r="G108" s="115"/>
      <c r="H108" s="115"/>
      <c r="I108" s="115" t="s">
        <v>389</v>
      </c>
      <c r="J108" s="116" t="e">
        <f>J73+J77+J87+J89+#REF!+J91+J92+J93+#REF!+J94+#REF!+J95+#REF!+#REF!+#REF!</f>
        <v>#REF!</v>
      </c>
      <c r="K108" s="116">
        <f>K109+K110</f>
        <v>1988675.4000000001</v>
      </c>
      <c r="L108" s="116"/>
      <c r="M108" s="116">
        <f>M109+M110</f>
        <v>2450051.1999999997</v>
      </c>
      <c r="N108" s="116"/>
      <c r="O108" s="116">
        <f>O109+O110</f>
        <v>2521084.6</v>
      </c>
      <c r="P108" s="116"/>
      <c r="Q108" s="116">
        <f>Q109+Q110</f>
        <v>2781432.4000000004</v>
      </c>
      <c r="R108" s="142"/>
      <c r="S108" s="96"/>
      <c r="T108" s="315"/>
    </row>
    <row r="109" spans="1:20" s="49" customFormat="1" ht="24.75" hidden="1" customHeight="1" x14ac:dyDescent="0.25">
      <c r="A109" s="111"/>
      <c r="B109" s="114" t="s">
        <v>396</v>
      </c>
      <c r="C109" s="115" t="s">
        <v>13</v>
      </c>
      <c r="D109" s="115" t="s">
        <v>13</v>
      </c>
      <c r="E109" s="115" t="s">
        <v>389</v>
      </c>
      <c r="F109" s="115"/>
      <c r="G109" s="115"/>
      <c r="H109" s="115"/>
      <c r="I109" s="115" t="s">
        <v>389</v>
      </c>
      <c r="J109" s="116"/>
      <c r="K109" s="116">
        <f>K73+K77+K87+K89+K90+K91+K92+K93+K94+K95+K96</f>
        <v>1988675.4000000001</v>
      </c>
      <c r="L109" s="116"/>
      <c r="M109" s="116">
        <f>M73+M77+M87++M89+M90+M91+M92+M93+M94+M95+M96+M99-M110</f>
        <v>2441676.1999999997</v>
      </c>
      <c r="N109" s="116"/>
      <c r="O109" s="116">
        <f>O73+O77+O87++O89+O90+O91+O92+O93+O94+O95+O96+O99-O110</f>
        <v>2521084.6</v>
      </c>
      <c r="P109" s="116"/>
      <c r="Q109" s="116">
        <f>Q73+Q77+Q87++Q89+Q90+Q91+Q92+Q93+Q94+Q95+Q96+Q99-Q110</f>
        <v>2771366.7</v>
      </c>
      <c r="R109" s="142"/>
      <c r="S109" s="96"/>
      <c r="T109" s="315"/>
    </row>
    <row r="110" spans="1:20" s="49" customFormat="1" ht="27.15" hidden="1" customHeight="1" x14ac:dyDescent="0.25">
      <c r="A110" s="111"/>
      <c r="B110" s="114" t="s">
        <v>434</v>
      </c>
      <c r="C110" s="115" t="s">
        <v>13</v>
      </c>
      <c r="D110" s="115" t="s">
        <v>13</v>
      </c>
      <c r="E110" s="115" t="s">
        <v>389</v>
      </c>
      <c r="F110" s="115"/>
      <c r="G110" s="115"/>
      <c r="H110" s="115"/>
      <c r="I110" s="115" t="s">
        <v>389</v>
      </c>
      <c r="J110" s="116"/>
      <c r="K110" s="116">
        <v>0</v>
      </c>
      <c r="L110" s="116"/>
      <c r="M110" s="116">
        <f>2010+6365</f>
        <v>8375</v>
      </c>
      <c r="N110" s="116"/>
      <c r="O110" s="116">
        <v>0</v>
      </c>
      <c r="P110" s="116"/>
      <c r="Q110" s="116">
        <f>8133.4+1932.3</f>
        <v>10065.699999999999</v>
      </c>
      <c r="R110" s="142"/>
      <c r="S110" s="96"/>
      <c r="T110" s="315"/>
    </row>
    <row r="111" spans="1:20" s="52" customFormat="1" ht="44.25" customHeight="1" x14ac:dyDescent="0.25">
      <c r="A111" s="59" t="s">
        <v>435</v>
      </c>
      <c r="B111" s="114" t="s">
        <v>436</v>
      </c>
      <c r="C111" s="91" t="s">
        <v>389</v>
      </c>
      <c r="D111" s="91"/>
      <c r="E111" s="91" t="s">
        <v>389</v>
      </c>
      <c r="F111" s="91"/>
      <c r="G111" s="91"/>
      <c r="H111" s="91"/>
      <c r="I111" s="91"/>
      <c r="J111" s="125" t="e">
        <f>#REF!+J113+J132+J133+#REF!+J134+#REF!+J135+#REF!+J136+#REF!+J137+#REF!+J138+#REF!+J139+J140+#REF!+J143+J144+#REF!+J145+#REF!+J146+#REF!+J148+J150+J151+#REF!+J152+J153+J154+J155+J158+#REF!+#REF!</f>
        <v>#REF!</v>
      </c>
      <c r="K111" s="81">
        <f>K113+K118+K132+K133+K134+K135+K136+K137+K141+K143+K144+K145+K146+K147+K148+K150+K151+K152+K153+K154+K155+K156+K158+K159</f>
        <v>3564793.1</v>
      </c>
      <c r="L111" s="81">
        <f>L113+L118+L132+L133+L134+L135+L136+L137+L141+L143+L144+L145+L146+L147+L148+L150+L151+L152+L153+L154+L155+L156+L158+L159</f>
        <v>3564814.0000000005</v>
      </c>
      <c r="M111" s="81">
        <f>M113+M118+M132+M133+M134+M135+M136+M137+M138+M139+M140+M141+M143+M144+M145+M146+M147+M148+M150+M151+M152+M153++M154+M155+M156+M158+M159</f>
        <v>3899891.5999999996</v>
      </c>
      <c r="N111" s="81"/>
      <c r="O111" s="81">
        <f>O113+O118+O132+O133+O134+O135+O136+O137+O138+O139+O140+O141+O143+O144+O145+O146+O147+O148+O150+O151+O152+O153++O154+O155+O156+O158+O159</f>
        <v>3976037.2</v>
      </c>
      <c r="P111" s="81"/>
      <c r="Q111" s="81">
        <f>Q113+Q118+Q132+Q133+Q134+Q135+Q136+Q137+Q138+Q139+Q140+Q141+Q143+Q144+Q145+Q146+Q147+Q148+Q150+Q151+Q152+Q153++Q154+Q155+Q156+Q158+Q159+20.9</f>
        <v>4811186.8000000007</v>
      </c>
      <c r="R111" s="81"/>
      <c r="S111" s="81"/>
      <c r="T111" s="315"/>
    </row>
    <row r="112" spans="1:20" s="49" customFormat="1" ht="81.75" customHeight="1" x14ac:dyDescent="0.25">
      <c r="A112" s="59" t="s">
        <v>437</v>
      </c>
      <c r="B112" s="87" t="s">
        <v>438</v>
      </c>
      <c r="C112" s="289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315"/>
    </row>
    <row r="113" spans="1:20" s="49" customFormat="1" ht="126.6" customHeight="1" x14ac:dyDescent="0.25">
      <c r="A113" s="59" t="s">
        <v>439</v>
      </c>
      <c r="B113" s="87" t="s">
        <v>140</v>
      </c>
      <c r="C113" s="122"/>
      <c r="D113" s="91" t="s">
        <v>440</v>
      </c>
      <c r="E113" s="56">
        <v>43101</v>
      </c>
      <c r="F113" s="56">
        <v>43463</v>
      </c>
      <c r="G113" s="56">
        <v>43101</v>
      </c>
      <c r="H113" s="56">
        <v>43188</v>
      </c>
      <c r="I113" s="59"/>
      <c r="J113" s="81">
        <f>SUM(J114:J117)</f>
        <v>1756305.3000000003</v>
      </c>
      <c r="K113" s="81">
        <f>SUM(K114:K117)</f>
        <v>327647.3</v>
      </c>
      <c r="L113" s="81">
        <v>327648.3</v>
      </c>
      <c r="M113" s="81">
        <f>SUM(M114:M117)</f>
        <v>460785.9</v>
      </c>
      <c r="N113" s="81"/>
      <c r="O113" s="81">
        <f>SUM(O114:O117)</f>
        <v>480722.7</v>
      </c>
      <c r="P113" s="81"/>
      <c r="Q113" s="81">
        <f>SUM(Q114:Q117)</f>
        <v>487148.5</v>
      </c>
      <c r="R113" s="81"/>
      <c r="S113" s="81"/>
      <c r="T113" s="315"/>
    </row>
    <row r="114" spans="1:20" s="49" customFormat="1" ht="18.75" customHeight="1" x14ac:dyDescent="0.25">
      <c r="A114" s="302" t="s">
        <v>441</v>
      </c>
      <c r="B114" s="318" t="s">
        <v>117</v>
      </c>
      <c r="C114" s="317"/>
      <c r="D114" s="317"/>
      <c r="E114" s="304">
        <v>43101</v>
      </c>
      <c r="F114" s="320">
        <v>43463</v>
      </c>
      <c r="G114" s="320">
        <v>43101</v>
      </c>
      <c r="H114" s="320">
        <v>43188</v>
      </c>
      <c r="I114" s="59" t="s">
        <v>164</v>
      </c>
      <c r="J114" s="81">
        <v>1606513.6</v>
      </c>
      <c r="K114" s="297">
        <v>327647.3</v>
      </c>
      <c r="L114" s="297">
        <v>327648.3</v>
      </c>
      <c r="M114" s="297">
        <v>460785.9</v>
      </c>
      <c r="N114" s="135"/>
      <c r="O114" s="297">
        <v>480722.7</v>
      </c>
      <c r="P114" s="135"/>
      <c r="Q114" s="297">
        <v>487148.5</v>
      </c>
      <c r="R114" s="137"/>
      <c r="S114" s="291"/>
      <c r="T114" s="315"/>
    </row>
    <row r="115" spans="1:20" s="49" customFormat="1" ht="18.75" customHeight="1" x14ac:dyDescent="0.25">
      <c r="A115" s="302"/>
      <c r="B115" s="319"/>
      <c r="C115" s="317"/>
      <c r="D115" s="317"/>
      <c r="E115" s="317"/>
      <c r="F115" s="321"/>
      <c r="G115" s="321"/>
      <c r="H115" s="321"/>
      <c r="I115" s="59" t="s">
        <v>165</v>
      </c>
      <c r="J115" s="81">
        <v>4000</v>
      </c>
      <c r="K115" s="298"/>
      <c r="L115" s="298"/>
      <c r="M115" s="298"/>
      <c r="N115" s="136"/>
      <c r="O115" s="298"/>
      <c r="P115" s="136"/>
      <c r="Q115" s="298"/>
      <c r="R115" s="138"/>
      <c r="S115" s="292"/>
      <c r="T115" s="315"/>
    </row>
    <row r="116" spans="1:20" s="49" customFormat="1" ht="23.25" customHeight="1" x14ac:dyDescent="0.25">
      <c r="A116" s="302"/>
      <c r="B116" s="319"/>
      <c r="C116" s="317"/>
      <c r="D116" s="317"/>
      <c r="E116" s="317"/>
      <c r="F116" s="321"/>
      <c r="G116" s="321"/>
      <c r="H116" s="321"/>
      <c r="I116" s="59" t="s">
        <v>166</v>
      </c>
      <c r="J116" s="81">
        <v>3367.1</v>
      </c>
      <c r="K116" s="298"/>
      <c r="L116" s="298"/>
      <c r="M116" s="298"/>
      <c r="N116" s="136"/>
      <c r="O116" s="298"/>
      <c r="P116" s="136"/>
      <c r="Q116" s="298"/>
      <c r="R116" s="138"/>
      <c r="S116" s="292"/>
      <c r="T116" s="315"/>
    </row>
    <row r="117" spans="1:20" s="49" customFormat="1" ht="25.5" customHeight="1" x14ac:dyDescent="0.25">
      <c r="A117" s="302"/>
      <c r="B117" s="319"/>
      <c r="C117" s="317"/>
      <c r="D117" s="317"/>
      <c r="E117" s="317"/>
      <c r="F117" s="322"/>
      <c r="G117" s="322"/>
      <c r="H117" s="322"/>
      <c r="I117" s="59" t="s">
        <v>167</v>
      </c>
      <c r="J117" s="81">
        <v>142424.6</v>
      </c>
      <c r="K117" s="299"/>
      <c r="L117" s="299"/>
      <c r="M117" s="299"/>
      <c r="N117" s="134"/>
      <c r="O117" s="299"/>
      <c r="P117" s="134"/>
      <c r="Q117" s="299"/>
      <c r="R117" s="138"/>
      <c r="S117" s="292"/>
      <c r="T117" s="315"/>
    </row>
    <row r="118" spans="1:20" s="49" customFormat="1" ht="173.4" customHeight="1" x14ac:dyDescent="0.25">
      <c r="A118" s="59" t="s">
        <v>442</v>
      </c>
      <c r="B118" s="87" t="s">
        <v>141</v>
      </c>
      <c r="C118" s="91"/>
      <c r="D118" s="91" t="s">
        <v>443</v>
      </c>
      <c r="E118" s="91" t="s">
        <v>13</v>
      </c>
      <c r="F118" s="56"/>
      <c r="G118" s="56"/>
      <c r="H118" s="91"/>
      <c r="I118" s="59" t="s">
        <v>13</v>
      </c>
      <c r="J118" s="81">
        <f>SUM(J119:J123)</f>
        <v>305013.3</v>
      </c>
      <c r="K118" s="81">
        <f>SUM(K119:K123)</f>
        <v>52708</v>
      </c>
      <c r="L118" s="81">
        <v>52708</v>
      </c>
      <c r="M118" s="81">
        <f>SUM(M119:M123)</f>
        <v>75919.8</v>
      </c>
      <c r="N118" s="81"/>
      <c r="O118" s="81">
        <f>SUM(O119:O123)</f>
        <v>91019.6</v>
      </c>
      <c r="P118" s="81"/>
      <c r="Q118" s="81">
        <f>SUM(Q119:Q123)</f>
        <v>85365.900000000009</v>
      </c>
      <c r="R118" s="81"/>
      <c r="S118" s="81"/>
      <c r="T118" s="83"/>
    </row>
    <row r="119" spans="1:20" s="49" customFormat="1" ht="25.5" customHeight="1" x14ac:dyDescent="0.25">
      <c r="A119" s="309" t="s">
        <v>444</v>
      </c>
      <c r="B119" s="311" t="s">
        <v>117</v>
      </c>
      <c r="C119" s="302"/>
      <c r="D119" s="302"/>
      <c r="E119" s="304">
        <v>43101</v>
      </c>
      <c r="F119" s="320">
        <v>43463</v>
      </c>
      <c r="G119" s="320">
        <v>43101</v>
      </c>
      <c r="H119" s="320">
        <v>43188</v>
      </c>
      <c r="I119" s="59" t="s">
        <v>168</v>
      </c>
      <c r="J119" s="81">
        <v>77372.3</v>
      </c>
      <c r="K119" s="297">
        <v>25491.4</v>
      </c>
      <c r="L119" s="297">
        <v>25491.4</v>
      </c>
      <c r="M119" s="297">
        <v>23614.799999999999</v>
      </c>
      <c r="N119" s="135"/>
      <c r="O119" s="297">
        <v>20234.8</v>
      </c>
      <c r="P119" s="135"/>
      <c r="Q119" s="297">
        <v>21772.799999999999</v>
      </c>
      <c r="R119" s="137"/>
      <c r="S119" s="291"/>
      <c r="T119" s="83"/>
    </row>
    <row r="120" spans="1:20" s="49" customFormat="1" ht="25.5" customHeight="1" x14ac:dyDescent="0.25">
      <c r="A120" s="317"/>
      <c r="B120" s="328"/>
      <c r="C120" s="317"/>
      <c r="D120" s="317"/>
      <c r="E120" s="317"/>
      <c r="F120" s="321"/>
      <c r="G120" s="321"/>
      <c r="H120" s="321"/>
      <c r="I120" s="59" t="s">
        <v>169</v>
      </c>
      <c r="J120" s="81">
        <v>868</v>
      </c>
      <c r="K120" s="298"/>
      <c r="L120" s="298"/>
      <c r="M120" s="298"/>
      <c r="N120" s="136"/>
      <c r="O120" s="298"/>
      <c r="P120" s="136"/>
      <c r="Q120" s="298"/>
      <c r="R120" s="138"/>
      <c r="S120" s="292"/>
      <c r="T120" s="83"/>
    </row>
    <row r="121" spans="1:20" s="49" customFormat="1" ht="25.5" customHeight="1" x14ac:dyDescent="0.25">
      <c r="A121" s="317"/>
      <c r="B121" s="328"/>
      <c r="C121" s="317"/>
      <c r="D121" s="317"/>
      <c r="E121" s="317"/>
      <c r="F121" s="321"/>
      <c r="G121" s="321"/>
      <c r="H121" s="321"/>
      <c r="I121" s="59" t="s">
        <v>170</v>
      </c>
      <c r="J121" s="81">
        <v>12073.5</v>
      </c>
      <c r="K121" s="298"/>
      <c r="L121" s="298"/>
      <c r="M121" s="298"/>
      <c r="N121" s="136"/>
      <c r="O121" s="298"/>
      <c r="P121" s="136"/>
      <c r="Q121" s="298"/>
      <c r="R121" s="138"/>
      <c r="S121" s="292"/>
      <c r="T121" s="83"/>
    </row>
    <row r="122" spans="1:20" s="49" customFormat="1" ht="25.5" customHeight="1" x14ac:dyDescent="0.25">
      <c r="A122" s="317"/>
      <c r="B122" s="328"/>
      <c r="C122" s="317"/>
      <c r="D122" s="317"/>
      <c r="E122" s="317"/>
      <c r="F122" s="322"/>
      <c r="G122" s="322"/>
      <c r="H122" s="322"/>
      <c r="I122" s="59" t="s">
        <v>171</v>
      </c>
      <c r="J122" s="81">
        <v>800</v>
      </c>
      <c r="K122" s="299"/>
      <c r="L122" s="299"/>
      <c r="M122" s="299"/>
      <c r="N122" s="134"/>
      <c r="O122" s="299"/>
      <c r="P122" s="136"/>
      <c r="Q122" s="298"/>
      <c r="R122" s="138"/>
      <c r="S122" s="292"/>
      <c r="T122" s="83"/>
    </row>
    <row r="123" spans="1:20" s="49" customFormat="1" ht="49.2" customHeight="1" x14ac:dyDescent="0.25">
      <c r="A123" s="59" t="s">
        <v>441</v>
      </c>
      <c r="B123" s="87" t="s">
        <v>142</v>
      </c>
      <c r="C123" s="91" t="s">
        <v>13</v>
      </c>
      <c r="D123" s="91" t="s">
        <v>13</v>
      </c>
      <c r="E123" s="91" t="s">
        <v>13</v>
      </c>
      <c r="F123" s="91"/>
      <c r="G123" s="91"/>
      <c r="H123" s="91"/>
      <c r="I123" s="91" t="s">
        <v>13</v>
      </c>
      <c r="J123" s="81">
        <f>SUM(J124:J130)</f>
        <v>213899.49999999997</v>
      </c>
      <c r="K123" s="81">
        <f>SUM(K124:K130)</f>
        <v>27216.600000000002</v>
      </c>
      <c r="L123" s="81">
        <v>27216.6</v>
      </c>
      <c r="M123" s="81">
        <f>SUM(M124:M130)</f>
        <v>52305</v>
      </c>
      <c r="N123" s="81"/>
      <c r="O123" s="81">
        <f>SUM(O124:O130)</f>
        <v>70784.800000000003</v>
      </c>
      <c r="P123" s="81"/>
      <c r="Q123" s="81">
        <f>SUM(Q124:Q130)</f>
        <v>63593.100000000006</v>
      </c>
      <c r="R123" s="81"/>
      <c r="S123" s="81"/>
      <c r="T123" s="83"/>
    </row>
    <row r="124" spans="1:20" s="49" customFormat="1" ht="25.5" customHeight="1" x14ac:dyDescent="0.25">
      <c r="A124" s="302" t="s">
        <v>445</v>
      </c>
      <c r="B124" s="318" t="s">
        <v>119</v>
      </c>
      <c r="C124" s="317"/>
      <c r="D124" s="317"/>
      <c r="E124" s="304">
        <v>43101</v>
      </c>
      <c r="F124" s="320">
        <v>43463</v>
      </c>
      <c r="G124" s="320">
        <v>43101</v>
      </c>
      <c r="H124" s="320">
        <v>43188</v>
      </c>
      <c r="I124" s="59" t="s">
        <v>168</v>
      </c>
      <c r="J124" s="81">
        <v>54512.6</v>
      </c>
      <c r="K124" s="297">
        <v>25999.4</v>
      </c>
      <c r="L124" s="297">
        <v>25999.4</v>
      </c>
      <c r="M124" s="297">
        <v>43423.4</v>
      </c>
      <c r="N124" s="135"/>
      <c r="O124" s="297">
        <v>57767</v>
      </c>
      <c r="P124" s="135"/>
      <c r="Q124" s="297">
        <v>59503.5</v>
      </c>
      <c r="R124" s="135"/>
      <c r="S124" s="297"/>
      <c r="T124" s="83"/>
    </row>
    <row r="125" spans="1:20" s="49" customFormat="1" ht="25.5" customHeight="1" x14ac:dyDescent="0.25">
      <c r="A125" s="317"/>
      <c r="B125" s="318"/>
      <c r="C125" s="317"/>
      <c r="D125" s="317"/>
      <c r="E125" s="317"/>
      <c r="F125" s="321"/>
      <c r="G125" s="321"/>
      <c r="H125" s="321"/>
      <c r="I125" s="59" t="s">
        <v>170</v>
      </c>
      <c r="J125" s="81">
        <v>45689</v>
      </c>
      <c r="K125" s="298"/>
      <c r="L125" s="298"/>
      <c r="M125" s="298"/>
      <c r="N125" s="136"/>
      <c r="O125" s="298"/>
      <c r="P125" s="136"/>
      <c r="Q125" s="298"/>
      <c r="R125" s="136"/>
      <c r="S125" s="298"/>
      <c r="T125" s="83"/>
    </row>
    <row r="126" spans="1:20" s="49" customFormat="1" ht="25.5" customHeight="1" x14ac:dyDescent="0.25">
      <c r="A126" s="317"/>
      <c r="B126" s="318"/>
      <c r="C126" s="317"/>
      <c r="D126" s="317"/>
      <c r="E126" s="317"/>
      <c r="F126" s="322"/>
      <c r="G126" s="322"/>
      <c r="H126" s="322"/>
      <c r="I126" s="59" t="s">
        <v>172</v>
      </c>
      <c r="J126" s="81">
        <v>86491.7</v>
      </c>
      <c r="K126" s="299"/>
      <c r="L126" s="299"/>
      <c r="M126" s="299"/>
      <c r="N126" s="134"/>
      <c r="O126" s="299"/>
      <c r="P126" s="134"/>
      <c r="Q126" s="299"/>
      <c r="R126" s="134"/>
      <c r="S126" s="299"/>
      <c r="T126" s="83"/>
    </row>
    <row r="127" spans="1:20" s="49" customFormat="1" ht="39.6" customHeight="1" x14ac:dyDescent="0.25">
      <c r="A127" s="323" t="s">
        <v>446</v>
      </c>
      <c r="B127" s="325" t="s">
        <v>120</v>
      </c>
      <c r="C127" s="122"/>
      <c r="D127" s="122"/>
      <c r="E127" s="320">
        <v>43101</v>
      </c>
      <c r="F127" s="320">
        <v>43463</v>
      </c>
      <c r="G127" s="320">
        <v>43101</v>
      </c>
      <c r="H127" s="320">
        <v>43188</v>
      </c>
      <c r="I127" s="59" t="s">
        <v>173</v>
      </c>
      <c r="J127" s="81">
        <v>3000</v>
      </c>
      <c r="K127" s="81"/>
      <c r="L127" s="81"/>
      <c r="M127" s="81">
        <v>2000</v>
      </c>
      <c r="N127" s="81"/>
      <c r="O127" s="81">
        <v>1000</v>
      </c>
      <c r="P127" s="134"/>
      <c r="Q127" s="134"/>
      <c r="R127" s="134"/>
      <c r="S127" s="81"/>
      <c r="T127" s="83"/>
    </row>
    <row r="128" spans="1:20" s="49" customFormat="1" ht="39.6" customHeight="1" x14ac:dyDescent="0.25">
      <c r="A128" s="324"/>
      <c r="B128" s="326"/>
      <c r="C128" s="122"/>
      <c r="D128" s="122"/>
      <c r="E128" s="324"/>
      <c r="F128" s="322"/>
      <c r="G128" s="322"/>
      <c r="H128" s="322"/>
      <c r="I128" s="59" t="s">
        <v>174</v>
      </c>
      <c r="J128" s="81">
        <v>23000</v>
      </c>
      <c r="K128" s="81">
        <v>1000</v>
      </c>
      <c r="L128" s="81"/>
      <c r="M128" s="81">
        <v>6580</v>
      </c>
      <c r="N128" s="81"/>
      <c r="O128" s="81">
        <v>11680</v>
      </c>
      <c r="P128" s="81"/>
      <c r="Q128" s="81">
        <v>3740</v>
      </c>
      <c r="R128" s="81"/>
      <c r="S128" s="81"/>
      <c r="T128" s="83"/>
    </row>
    <row r="129" spans="1:20" s="49" customFormat="1" ht="42.75" customHeight="1" x14ac:dyDescent="0.25">
      <c r="A129" s="302" t="s">
        <v>447</v>
      </c>
      <c r="B129" s="318" t="s">
        <v>143</v>
      </c>
      <c r="C129" s="317"/>
      <c r="D129" s="317"/>
      <c r="E129" s="56">
        <v>43101</v>
      </c>
      <c r="F129" s="56">
        <v>43463</v>
      </c>
      <c r="G129" s="56">
        <v>43101</v>
      </c>
      <c r="H129" s="56">
        <v>43188</v>
      </c>
      <c r="I129" s="59" t="s">
        <v>169</v>
      </c>
      <c r="J129" s="81">
        <v>842.9</v>
      </c>
      <c r="K129" s="81">
        <v>151.80000000000001</v>
      </c>
      <c r="L129" s="81">
        <v>151.80000000000001</v>
      </c>
      <c r="M129" s="81">
        <v>210.7</v>
      </c>
      <c r="N129" s="81"/>
      <c r="O129" s="81">
        <v>236.1</v>
      </c>
      <c r="P129" s="81"/>
      <c r="Q129" s="81">
        <v>244.3</v>
      </c>
      <c r="R129" s="81"/>
      <c r="S129" s="81"/>
      <c r="T129" s="83"/>
    </row>
    <row r="130" spans="1:20" s="49" customFormat="1" ht="130.5" customHeight="1" x14ac:dyDescent="0.25">
      <c r="A130" s="303"/>
      <c r="B130" s="327"/>
      <c r="C130" s="303"/>
      <c r="D130" s="303"/>
      <c r="E130" s="56">
        <v>43101</v>
      </c>
      <c r="F130" s="56">
        <v>43463</v>
      </c>
      <c r="G130" s="56">
        <v>43101</v>
      </c>
      <c r="H130" s="56">
        <v>43188</v>
      </c>
      <c r="I130" s="59" t="s">
        <v>175</v>
      </c>
      <c r="J130" s="81">
        <v>363.3</v>
      </c>
      <c r="K130" s="81">
        <v>65.400000000000006</v>
      </c>
      <c r="L130" s="81">
        <v>65.400000000000006</v>
      </c>
      <c r="M130" s="81">
        <v>90.9</v>
      </c>
      <c r="N130" s="81"/>
      <c r="O130" s="81">
        <v>101.7</v>
      </c>
      <c r="P130" s="81"/>
      <c r="Q130" s="81">
        <v>105.3</v>
      </c>
      <c r="R130" s="81"/>
      <c r="S130" s="81"/>
      <c r="T130" s="83"/>
    </row>
    <row r="131" spans="1:20" s="49" customFormat="1" ht="61.2" customHeight="1" x14ac:dyDescent="0.25">
      <c r="A131" s="59" t="s">
        <v>448</v>
      </c>
      <c r="B131" s="87" t="s">
        <v>449</v>
      </c>
      <c r="C131" s="286"/>
      <c r="D131" s="287"/>
      <c r="E131" s="287"/>
      <c r="F131" s="287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8"/>
      <c r="T131" s="313">
        <v>13</v>
      </c>
    </row>
    <row r="132" spans="1:20" s="49" customFormat="1" ht="228.75" customHeight="1" x14ac:dyDescent="0.25">
      <c r="A132" s="59" t="s">
        <v>450</v>
      </c>
      <c r="B132" s="87" t="s">
        <v>144</v>
      </c>
      <c r="C132" s="123">
        <v>1</v>
      </c>
      <c r="D132" s="123" t="s">
        <v>451</v>
      </c>
      <c r="E132" s="90">
        <v>43101</v>
      </c>
      <c r="F132" s="90">
        <v>43463</v>
      </c>
      <c r="G132" s="90">
        <v>43101</v>
      </c>
      <c r="H132" s="90">
        <v>43188</v>
      </c>
      <c r="I132" s="141" t="s">
        <v>176</v>
      </c>
      <c r="J132" s="134">
        <v>249600</v>
      </c>
      <c r="K132" s="134">
        <v>61653.1</v>
      </c>
      <c r="L132" s="134">
        <v>61653.1</v>
      </c>
      <c r="M132" s="134">
        <v>90000</v>
      </c>
      <c r="N132" s="134"/>
      <c r="O132" s="134">
        <v>110000</v>
      </c>
      <c r="P132" s="134"/>
      <c r="Q132" s="134">
        <f>60000+20864.3</f>
        <v>80864.3</v>
      </c>
      <c r="R132" s="134"/>
      <c r="S132" s="80"/>
      <c r="T132" s="315"/>
    </row>
    <row r="133" spans="1:20" s="49" customFormat="1" ht="95.4" customHeight="1" x14ac:dyDescent="0.25">
      <c r="A133" s="59" t="s">
        <v>452</v>
      </c>
      <c r="B133" s="87" t="s">
        <v>145</v>
      </c>
      <c r="C133" s="91">
        <v>1</v>
      </c>
      <c r="D133" s="91" t="s">
        <v>335</v>
      </c>
      <c r="E133" s="56">
        <v>43101</v>
      </c>
      <c r="F133" s="56">
        <v>43463</v>
      </c>
      <c r="G133" s="56">
        <v>43101</v>
      </c>
      <c r="H133" s="56">
        <v>43188</v>
      </c>
      <c r="I133" s="61" t="s">
        <v>177</v>
      </c>
      <c r="J133" s="81">
        <v>58.2</v>
      </c>
      <c r="K133" s="81">
        <v>236444</v>
      </c>
      <c r="L133" s="81">
        <v>236444</v>
      </c>
      <c r="M133" s="81">
        <f>ROUND(1140560.5*23.8/100,1)</f>
        <v>271453.40000000002</v>
      </c>
      <c r="N133" s="81"/>
      <c r="O133" s="81">
        <f>ROUND(1140560.5*21.9/100,1)</f>
        <v>249782.7</v>
      </c>
      <c r="P133" s="81"/>
      <c r="Q133" s="81">
        <f>ROUND(1140560.5*26.6/100,1)+81527.8-2036.4-0.1</f>
        <v>382880.39999999997</v>
      </c>
      <c r="R133" s="81"/>
      <c r="S133" s="80"/>
      <c r="T133" s="315"/>
    </row>
    <row r="134" spans="1:20" s="49" customFormat="1" ht="205.2" customHeight="1" x14ac:dyDescent="0.25">
      <c r="A134" s="59" t="s">
        <v>453</v>
      </c>
      <c r="B134" s="87" t="s">
        <v>146</v>
      </c>
      <c r="C134" s="91">
        <v>1</v>
      </c>
      <c r="D134" s="91" t="s">
        <v>335</v>
      </c>
      <c r="E134" s="56">
        <v>43101</v>
      </c>
      <c r="F134" s="56">
        <v>43463</v>
      </c>
      <c r="G134" s="56">
        <v>43101</v>
      </c>
      <c r="H134" s="56">
        <v>43188</v>
      </c>
      <c r="I134" s="61" t="s">
        <v>178</v>
      </c>
      <c r="J134" s="81">
        <v>4584.2</v>
      </c>
      <c r="K134" s="81">
        <v>42365.4</v>
      </c>
      <c r="L134" s="81">
        <v>42365.4</v>
      </c>
      <c r="M134" s="81">
        <f>ROUND(324779.8*23.8/100,1)</f>
        <v>77297.600000000006</v>
      </c>
      <c r="N134" s="81"/>
      <c r="O134" s="81">
        <f>ROUND(324779.8*21.9/100,1)</f>
        <v>71126.8</v>
      </c>
      <c r="P134" s="81"/>
      <c r="Q134" s="81">
        <f>ROUND(324779.8*26.6/100,1)+48447.2-848.7+0.1</f>
        <v>133989.99999999997</v>
      </c>
      <c r="R134" s="81"/>
      <c r="S134" s="80"/>
      <c r="T134" s="315"/>
    </row>
    <row r="135" spans="1:20" s="49" customFormat="1" ht="133.35" customHeight="1" x14ac:dyDescent="0.25">
      <c r="A135" s="59" t="s">
        <v>454</v>
      </c>
      <c r="B135" s="88" t="s">
        <v>147</v>
      </c>
      <c r="C135" s="91">
        <v>1</v>
      </c>
      <c r="D135" s="91" t="s">
        <v>335</v>
      </c>
      <c r="E135" s="56">
        <v>43101</v>
      </c>
      <c r="F135" s="56">
        <v>43463</v>
      </c>
      <c r="G135" s="56">
        <v>43101</v>
      </c>
      <c r="H135" s="56">
        <v>43188</v>
      </c>
      <c r="I135" s="61" t="s">
        <v>455</v>
      </c>
      <c r="J135" s="81">
        <v>30054.1</v>
      </c>
      <c r="K135" s="81">
        <v>860724.3</v>
      </c>
      <c r="L135" s="81">
        <v>860724.3</v>
      </c>
      <c r="M135" s="81">
        <f>ROUND(2817488.4*23.8/100,1)</f>
        <v>670562.19999999995</v>
      </c>
      <c r="N135" s="81"/>
      <c r="O135" s="81">
        <f>ROUND(2817488.4*21.9/100,1)</f>
        <v>617030</v>
      </c>
      <c r="P135" s="81"/>
      <c r="Q135" s="81">
        <f>ROUND(2817488.4*26.6/100,1)+429786.2-10066.2</f>
        <v>1169171.9000000001</v>
      </c>
      <c r="R135" s="81"/>
      <c r="S135" s="80"/>
      <c r="T135" s="315"/>
    </row>
    <row r="136" spans="1:20" s="49" customFormat="1" ht="136.5" customHeight="1" x14ac:dyDescent="0.25">
      <c r="A136" s="59" t="s">
        <v>456</v>
      </c>
      <c r="B136" s="87" t="s">
        <v>148</v>
      </c>
      <c r="C136" s="91">
        <v>1</v>
      </c>
      <c r="D136" s="91" t="s">
        <v>335</v>
      </c>
      <c r="E136" s="56">
        <v>43101</v>
      </c>
      <c r="F136" s="56">
        <v>43463</v>
      </c>
      <c r="G136" s="56">
        <v>43101</v>
      </c>
      <c r="H136" s="56">
        <v>43188</v>
      </c>
      <c r="I136" s="61" t="s">
        <v>179</v>
      </c>
      <c r="J136" s="81">
        <v>6</v>
      </c>
      <c r="K136" s="81">
        <v>6294.8</v>
      </c>
      <c r="L136" s="81">
        <v>6294.8</v>
      </c>
      <c r="M136" s="81">
        <v>10800</v>
      </c>
      <c r="N136" s="81"/>
      <c r="O136" s="81">
        <v>9900</v>
      </c>
      <c r="P136" s="81"/>
      <c r="Q136" s="81">
        <f>9733.3+2095.2-289.9-0.1</f>
        <v>11538.5</v>
      </c>
      <c r="R136" s="81"/>
      <c r="S136" s="80"/>
      <c r="T136" s="313">
        <v>14</v>
      </c>
    </row>
    <row r="137" spans="1:20" s="49" customFormat="1" ht="30" customHeight="1" x14ac:dyDescent="0.25">
      <c r="A137" s="309" t="s">
        <v>457</v>
      </c>
      <c r="B137" s="318" t="s">
        <v>149</v>
      </c>
      <c r="C137" s="302">
        <v>1</v>
      </c>
      <c r="D137" s="302" t="s">
        <v>335</v>
      </c>
      <c r="E137" s="304">
        <v>43101</v>
      </c>
      <c r="F137" s="320">
        <v>43463</v>
      </c>
      <c r="G137" s="320">
        <v>43101</v>
      </c>
      <c r="H137" s="320">
        <v>43188</v>
      </c>
      <c r="I137" s="61" t="s">
        <v>180</v>
      </c>
      <c r="J137" s="81">
        <v>128</v>
      </c>
      <c r="K137" s="297">
        <v>781866.9</v>
      </c>
      <c r="L137" s="297">
        <v>781886.9</v>
      </c>
      <c r="M137" s="297">
        <v>779177</v>
      </c>
      <c r="N137" s="135"/>
      <c r="O137" s="297">
        <v>821559.1</v>
      </c>
      <c r="P137" s="135"/>
      <c r="Q137" s="297">
        <v>877550.1</v>
      </c>
      <c r="R137" s="135"/>
      <c r="S137" s="305"/>
      <c r="T137" s="315"/>
    </row>
    <row r="138" spans="1:20" s="49" customFormat="1" ht="24.75" customHeight="1" x14ac:dyDescent="0.25">
      <c r="A138" s="309"/>
      <c r="B138" s="318"/>
      <c r="C138" s="302"/>
      <c r="D138" s="302"/>
      <c r="E138" s="304"/>
      <c r="F138" s="321"/>
      <c r="G138" s="321"/>
      <c r="H138" s="321"/>
      <c r="I138" s="61" t="s">
        <v>181</v>
      </c>
      <c r="J138" s="81">
        <v>14</v>
      </c>
      <c r="K138" s="298"/>
      <c r="L138" s="298"/>
      <c r="M138" s="298"/>
      <c r="N138" s="136"/>
      <c r="O138" s="298"/>
      <c r="P138" s="136"/>
      <c r="Q138" s="298"/>
      <c r="R138" s="136"/>
      <c r="S138" s="305"/>
      <c r="T138" s="315"/>
    </row>
    <row r="139" spans="1:20" s="49" customFormat="1" ht="34.5" customHeight="1" x14ac:dyDescent="0.25">
      <c r="A139" s="309"/>
      <c r="B139" s="318"/>
      <c r="C139" s="302"/>
      <c r="D139" s="302"/>
      <c r="E139" s="304"/>
      <c r="F139" s="321"/>
      <c r="G139" s="321"/>
      <c r="H139" s="321"/>
      <c r="I139" s="61" t="s">
        <v>182</v>
      </c>
      <c r="J139" s="81">
        <v>2.8</v>
      </c>
      <c r="K139" s="298"/>
      <c r="L139" s="298"/>
      <c r="M139" s="298"/>
      <c r="N139" s="136"/>
      <c r="O139" s="298"/>
      <c r="P139" s="136"/>
      <c r="Q139" s="298"/>
      <c r="R139" s="136"/>
      <c r="S139" s="305"/>
      <c r="T139" s="315"/>
    </row>
    <row r="140" spans="1:20" s="49" customFormat="1" ht="75" customHeight="1" x14ac:dyDescent="0.25">
      <c r="A140" s="317"/>
      <c r="B140" s="319"/>
      <c r="C140" s="317"/>
      <c r="D140" s="317"/>
      <c r="E140" s="317"/>
      <c r="F140" s="322"/>
      <c r="G140" s="322"/>
      <c r="H140" s="322"/>
      <c r="I140" s="61" t="s">
        <v>183</v>
      </c>
      <c r="J140" s="81">
        <v>13.3</v>
      </c>
      <c r="K140" s="299"/>
      <c r="L140" s="299"/>
      <c r="M140" s="299"/>
      <c r="N140" s="134"/>
      <c r="O140" s="299"/>
      <c r="P140" s="134"/>
      <c r="Q140" s="299"/>
      <c r="R140" s="134"/>
      <c r="S140" s="305"/>
      <c r="T140" s="315"/>
    </row>
    <row r="141" spans="1:20" s="49" customFormat="1" ht="95.4" customHeight="1" x14ac:dyDescent="0.25">
      <c r="A141" s="59" t="s">
        <v>458</v>
      </c>
      <c r="B141" s="87" t="s">
        <v>150</v>
      </c>
      <c r="C141" s="122">
        <v>1</v>
      </c>
      <c r="D141" s="91" t="s">
        <v>335</v>
      </c>
      <c r="E141" s="56">
        <v>43101</v>
      </c>
      <c r="F141" s="56">
        <v>43463</v>
      </c>
      <c r="G141" s="56">
        <v>43101</v>
      </c>
      <c r="H141" s="56">
        <v>43188</v>
      </c>
      <c r="I141" s="61" t="s">
        <v>459</v>
      </c>
      <c r="J141" s="81"/>
      <c r="K141" s="81">
        <v>15274.3</v>
      </c>
      <c r="L141" s="81">
        <v>15274.3</v>
      </c>
      <c r="M141" s="81">
        <v>240568.5</v>
      </c>
      <c r="N141" s="81"/>
      <c r="O141" s="81">
        <v>240568.5</v>
      </c>
      <c r="P141" s="81"/>
      <c r="Q141" s="81">
        <v>240568.5</v>
      </c>
      <c r="R141" s="81"/>
      <c r="S141" s="81"/>
      <c r="T141" s="315"/>
    </row>
    <row r="142" spans="1:20" s="49" customFormat="1" ht="36" customHeight="1" x14ac:dyDescent="0.25">
      <c r="A142" s="59" t="s">
        <v>460</v>
      </c>
      <c r="B142" s="87" t="s">
        <v>461</v>
      </c>
      <c r="C142" s="289"/>
      <c r="D142" s="290"/>
      <c r="E142" s="290"/>
      <c r="F142" s="290"/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  <c r="R142" s="290"/>
      <c r="S142" s="290"/>
      <c r="T142" s="315"/>
    </row>
    <row r="143" spans="1:20" s="82" customFormat="1" ht="94.95" customHeight="1" x14ac:dyDescent="0.25">
      <c r="A143" s="59" t="s">
        <v>462</v>
      </c>
      <c r="B143" s="87" t="s">
        <v>151</v>
      </c>
      <c r="C143" s="91">
        <v>1</v>
      </c>
      <c r="D143" s="91" t="s">
        <v>463</v>
      </c>
      <c r="E143" s="56">
        <v>43282</v>
      </c>
      <c r="F143" s="56">
        <v>43311</v>
      </c>
      <c r="G143" s="56">
        <v>43282</v>
      </c>
      <c r="H143" s="56">
        <v>43282</v>
      </c>
      <c r="I143" s="61" t="s">
        <v>184</v>
      </c>
      <c r="J143" s="81">
        <v>375</v>
      </c>
      <c r="K143" s="81">
        <v>0</v>
      </c>
      <c r="L143" s="81">
        <v>0</v>
      </c>
      <c r="M143" s="81">
        <v>0</v>
      </c>
      <c r="N143" s="81"/>
      <c r="O143" s="81">
        <v>0</v>
      </c>
      <c r="P143" s="81"/>
      <c r="Q143" s="81">
        <v>487.5</v>
      </c>
      <c r="R143" s="81"/>
      <c r="S143" s="80"/>
      <c r="T143" s="315"/>
    </row>
    <row r="144" spans="1:20" s="49" customFormat="1" ht="115.2" customHeight="1" x14ac:dyDescent="0.25">
      <c r="A144" s="59" t="s">
        <v>464</v>
      </c>
      <c r="B144" s="87" t="s">
        <v>152</v>
      </c>
      <c r="C144" s="91">
        <v>1</v>
      </c>
      <c r="D144" s="91" t="s">
        <v>465</v>
      </c>
      <c r="E144" s="56">
        <v>43101</v>
      </c>
      <c r="F144" s="56">
        <v>43463</v>
      </c>
      <c r="G144" s="56">
        <v>43101</v>
      </c>
      <c r="H144" s="56">
        <v>43188</v>
      </c>
      <c r="I144" s="61" t="s">
        <v>185</v>
      </c>
      <c r="J144" s="81">
        <v>1429.5</v>
      </c>
      <c r="K144" s="81">
        <v>14200</v>
      </c>
      <c r="L144" s="81">
        <v>14200</v>
      </c>
      <c r="M144" s="81">
        <v>23500</v>
      </c>
      <c r="N144" s="81"/>
      <c r="O144" s="81">
        <v>25300</v>
      </c>
      <c r="P144" s="81"/>
      <c r="Q144" s="81">
        <f>20324.5+7700-1400</f>
        <v>26624.5</v>
      </c>
      <c r="R144" s="81"/>
      <c r="S144" s="80"/>
      <c r="T144" s="315"/>
    </row>
    <row r="145" spans="1:20" s="49" customFormat="1" ht="102" customHeight="1" x14ac:dyDescent="0.25">
      <c r="A145" s="59" t="s">
        <v>466</v>
      </c>
      <c r="B145" s="88" t="s">
        <v>153</v>
      </c>
      <c r="C145" s="91"/>
      <c r="D145" s="91" t="s">
        <v>335</v>
      </c>
      <c r="E145" s="56">
        <v>43101</v>
      </c>
      <c r="F145" s="56">
        <v>43463</v>
      </c>
      <c r="G145" s="56">
        <v>43101</v>
      </c>
      <c r="H145" s="56">
        <v>43188</v>
      </c>
      <c r="I145" s="59" t="s">
        <v>186</v>
      </c>
      <c r="J145" s="81">
        <v>3102.1</v>
      </c>
      <c r="K145" s="81">
        <f>67385.5+480</f>
        <v>67865.5</v>
      </c>
      <c r="L145" s="81">
        <f>67385.5+480</f>
        <v>67865.5</v>
      </c>
      <c r="M145" s="81">
        <f>ROUND(348376.8*23.8/100,1)</f>
        <v>82913.7</v>
      </c>
      <c r="N145" s="81"/>
      <c r="O145" s="81">
        <f>ROUND(348376.8*21.9/100,1)</f>
        <v>76294.5</v>
      </c>
      <c r="P145" s="81"/>
      <c r="Q145" s="81">
        <f>ROUND(348376.8*26.6/100,1)+37547.8-8432.9-480</f>
        <v>121303.1</v>
      </c>
      <c r="R145" s="81"/>
      <c r="S145" s="80"/>
      <c r="T145" s="315"/>
    </row>
    <row r="146" spans="1:20" s="49" customFormat="1" ht="105.15" customHeight="1" x14ac:dyDescent="0.25">
      <c r="A146" s="59" t="s">
        <v>467</v>
      </c>
      <c r="B146" s="88" t="s">
        <v>154</v>
      </c>
      <c r="C146" s="91"/>
      <c r="D146" s="91" t="s">
        <v>335</v>
      </c>
      <c r="E146" s="56">
        <v>43101</v>
      </c>
      <c r="F146" s="56">
        <v>43463</v>
      </c>
      <c r="G146" s="56">
        <v>43101</v>
      </c>
      <c r="H146" s="56">
        <v>43188</v>
      </c>
      <c r="I146" s="59" t="s">
        <v>187</v>
      </c>
      <c r="J146" s="81">
        <v>8147.9</v>
      </c>
      <c r="K146" s="81">
        <f>271810.7-3.5</f>
        <v>271807.2</v>
      </c>
      <c r="L146" s="81">
        <v>271807.3</v>
      </c>
      <c r="M146" s="81">
        <f>ROUND(968519.1*23.8/100,1)</f>
        <v>230507.5</v>
      </c>
      <c r="N146" s="81"/>
      <c r="O146" s="81">
        <f>ROUND(968519.1*21.9/100,1)</f>
        <v>212105.7</v>
      </c>
      <c r="P146" s="81"/>
      <c r="Q146" s="81">
        <f>ROUND(968519.1*26.6/100,1)-3021.6-509.3+3.5</f>
        <v>254098.7</v>
      </c>
      <c r="R146" s="81"/>
      <c r="S146" s="80"/>
      <c r="T146" s="313">
        <v>15</v>
      </c>
    </row>
    <row r="147" spans="1:20" s="49" customFormat="1" ht="131.4" customHeight="1" x14ac:dyDescent="0.25">
      <c r="A147" s="59"/>
      <c r="B147" s="88" t="s">
        <v>468</v>
      </c>
      <c r="C147" s="91"/>
      <c r="D147" s="91"/>
      <c r="E147" s="56"/>
      <c r="F147" s="56"/>
      <c r="G147" s="56"/>
      <c r="H147" s="56"/>
      <c r="I147" s="59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313"/>
    </row>
    <row r="148" spans="1:20" s="49" customFormat="1" ht="130.5" customHeight="1" x14ac:dyDescent="0.25">
      <c r="A148" s="59" t="s">
        <v>469</v>
      </c>
      <c r="B148" s="88" t="s">
        <v>155</v>
      </c>
      <c r="C148" s="91"/>
      <c r="D148" s="91" t="s">
        <v>470</v>
      </c>
      <c r="E148" s="56">
        <v>43101</v>
      </c>
      <c r="F148" s="56">
        <v>43463</v>
      </c>
      <c r="G148" s="56">
        <v>43101</v>
      </c>
      <c r="H148" s="56">
        <v>43188</v>
      </c>
      <c r="I148" s="59" t="s">
        <v>188</v>
      </c>
      <c r="J148" s="81">
        <v>37921.599999999999</v>
      </c>
      <c r="K148" s="81">
        <f>5943.9+16.8</f>
        <v>5960.7</v>
      </c>
      <c r="L148" s="81">
        <f>5943.9+16.8</f>
        <v>5960.7</v>
      </c>
      <c r="M148" s="81">
        <v>8003.3</v>
      </c>
      <c r="N148" s="81"/>
      <c r="O148" s="81">
        <v>8323.4</v>
      </c>
      <c r="P148" s="81"/>
      <c r="Q148" s="81">
        <f>7363+4384.6-2005.1-16.8</f>
        <v>9725.7000000000007</v>
      </c>
      <c r="R148" s="81"/>
      <c r="S148" s="80"/>
      <c r="T148" s="315"/>
    </row>
    <row r="149" spans="1:20" s="49" customFormat="1" ht="67.5" customHeight="1" x14ac:dyDescent="0.25">
      <c r="A149" s="59" t="s">
        <v>471</v>
      </c>
      <c r="B149" s="87" t="s">
        <v>472</v>
      </c>
      <c r="C149" s="286"/>
      <c r="D149" s="287"/>
      <c r="E149" s="287"/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8"/>
      <c r="T149" s="315"/>
    </row>
    <row r="150" spans="1:20" s="49" customFormat="1" ht="259.5" customHeight="1" x14ac:dyDescent="0.25">
      <c r="A150" s="59" t="s">
        <v>473</v>
      </c>
      <c r="B150" s="88" t="s">
        <v>474</v>
      </c>
      <c r="C150" s="91"/>
      <c r="D150" s="91" t="s">
        <v>475</v>
      </c>
      <c r="E150" s="56">
        <v>43101</v>
      </c>
      <c r="F150" s="56">
        <v>43463</v>
      </c>
      <c r="G150" s="56">
        <v>43101</v>
      </c>
      <c r="H150" s="56">
        <v>43188</v>
      </c>
      <c r="I150" s="59" t="s">
        <v>189</v>
      </c>
      <c r="J150" s="81">
        <v>1657379.5</v>
      </c>
      <c r="K150" s="81">
        <f>433882.7+5080.8</f>
        <v>438963.5</v>
      </c>
      <c r="L150" s="81">
        <v>438963.6</v>
      </c>
      <c r="M150" s="81">
        <v>439862</v>
      </c>
      <c r="N150" s="81"/>
      <c r="O150" s="81">
        <v>484746</v>
      </c>
      <c r="P150" s="81"/>
      <c r="Q150" s="81">
        <f>403955+133975.7-101066-5080.8</f>
        <v>431783.89999999997</v>
      </c>
      <c r="R150" s="81"/>
      <c r="S150" s="80"/>
      <c r="T150" s="315"/>
    </row>
    <row r="151" spans="1:20" s="49" customFormat="1" ht="214.5" customHeight="1" x14ac:dyDescent="0.25">
      <c r="A151" s="59" t="s">
        <v>476</v>
      </c>
      <c r="B151" s="88" t="s">
        <v>156</v>
      </c>
      <c r="C151" s="91">
        <v>1</v>
      </c>
      <c r="D151" s="91" t="s">
        <v>465</v>
      </c>
      <c r="E151" s="56">
        <v>43101</v>
      </c>
      <c r="F151" s="56">
        <v>43463</v>
      </c>
      <c r="G151" s="56">
        <v>43101</v>
      </c>
      <c r="H151" s="56">
        <v>43188</v>
      </c>
      <c r="I151" s="61" t="s">
        <v>190</v>
      </c>
      <c r="J151" s="81">
        <v>1109079.1000000001</v>
      </c>
      <c r="K151" s="81">
        <v>293564.2</v>
      </c>
      <c r="L151" s="81">
        <v>293564.2</v>
      </c>
      <c r="M151" s="81">
        <v>328163.40000000002</v>
      </c>
      <c r="N151" s="81"/>
      <c r="O151" s="81">
        <v>361649.4</v>
      </c>
      <c r="P151" s="81"/>
      <c r="Q151" s="81">
        <f>301374.4+89638.5-34947.6-0.1</f>
        <v>356065.20000000007</v>
      </c>
      <c r="R151" s="81"/>
      <c r="S151" s="80"/>
      <c r="T151" s="315"/>
    </row>
    <row r="152" spans="1:20" s="49" customFormat="1" ht="217.5" customHeight="1" x14ac:dyDescent="0.25">
      <c r="A152" s="59" t="s">
        <v>477</v>
      </c>
      <c r="B152" s="88" t="s">
        <v>157</v>
      </c>
      <c r="C152" s="91">
        <v>1</v>
      </c>
      <c r="D152" s="91" t="s">
        <v>470</v>
      </c>
      <c r="E152" s="56">
        <v>43101</v>
      </c>
      <c r="F152" s="56">
        <v>43463</v>
      </c>
      <c r="G152" s="56">
        <v>43101</v>
      </c>
      <c r="H152" s="56">
        <v>43188</v>
      </c>
      <c r="I152" s="61" t="s">
        <v>191</v>
      </c>
      <c r="J152" s="81">
        <v>26397.599999999999</v>
      </c>
      <c r="K152" s="81">
        <f>3445+102.3-90</f>
        <v>3457.3</v>
      </c>
      <c r="L152" s="81">
        <v>3457.2</v>
      </c>
      <c r="M152" s="81">
        <v>3853.4</v>
      </c>
      <c r="N152" s="81"/>
      <c r="O152" s="81">
        <v>4439.7</v>
      </c>
      <c r="P152" s="81"/>
      <c r="Q152" s="81">
        <f>4356+1505.9-846.3-102.3</f>
        <v>4913.2999999999993</v>
      </c>
      <c r="R152" s="81"/>
      <c r="S152" s="80"/>
      <c r="T152" s="315"/>
    </row>
    <row r="153" spans="1:20" s="49" customFormat="1" ht="219.15" customHeight="1" x14ac:dyDescent="0.25">
      <c r="A153" s="59" t="s">
        <v>478</v>
      </c>
      <c r="B153" s="88" t="s">
        <v>158</v>
      </c>
      <c r="C153" s="91">
        <v>1</v>
      </c>
      <c r="D153" s="91" t="s">
        <v>479</v>
      </c>
      <c r="E153" s="56">
        <v>43101</v>
      </c>
      <c r="F153" s="56">
        <v>43463</v>
      </c>
      <c r="G153" s="56">
        <v>43101</v>
      </c>
      <c r="H153" s="56">
        <v>43188</v>
      </c>
      <c r="I153" s="61" t="s">
        <v>192</v>
      </c>
      <c r="J153" s="81">
        <v>32202.7</v>
      </c>
      <c r="K153" s="81">
        <v>3783.9</v>
      </c>
      <c r="L153" s="81">
        <v>3783.9</v>
      </c>
      <c r="M153" s="81">
        <v>4767.8999999999996</v>
      </c>
      <c r="N153" s="81"/>
      <c r="O153" s="81">
        <v>5493.5</v>
      </c>
      <c r="P153" s="81"/>
      <c r="Q153" s="81">
        <f>5390+1626.5-331.5+90</f>
        <v>6775</v>
      </c>
      <c r="R153" s="81"/>
      <c r="S153" s="80"/>
      <c r="T153" s="315"/>
    </row>
    <row r="154" spans="1:20" s="49" customFormat="1" ht="289.5" customHeight="1" x14ac:dyDescent="0.25">
      <c r="A154" s="59" t="s">
        <v>480</v>
      </c>
      <c r="B154" s="88" t="s">
        <v>159</v>
      </c>
      <c r="C154" s="91">
        <v>1</v>
      </c>
      <c r="D154" s="91" t="s">
        <v>481</v>
      </c>
      <c r="E154" s="56">
        <v>43101</v>
      </c>
      <c r="F154" s="56">
        <v>43463</v>
      </c>
      <c r="G154" s="56">
        <v>43101</v>
      </c>
      <c r="H154" s="56">
        <v>43188</v>
      </c>
      <c r="I154" s="59" t="s">
        <v>193</v>
      </c>
      <c r="J154" s="81">
        <v>215940</v>
      </c>
      <c r="K154" s="81">
        <v>51066.3</v>
      </c>
      <c r="L154" s="81">
        <v>51066.3</v>
      </c>
      <c r="M154" s="81">
        <v>63943.4</v>
      </c>
      <c r="N154" s="81"/>
      <c r="O154" s="81">
        <v>66607.8</v>
      </c>
      <c r="P154" s="81"/>
      <c r="Q154" s="81">
        <f>55950.2+34867.3-6004.3</f>
        <v>84813.2</v>
      </c>
      <c r="R154" s="81"/>
      <c r="S154" s="80"/>
      <c r="T154" s="313">
        <v>17</v>
      </c>
    </row>
    <row r="155" spans="1:20" s="49" customFormat="1" ht="194.25" customHeight="1" x14ac:dyDescent="0.25">
      <c r="A155" s="59" t="s">
        <v>482</v>
      </c>
      <c r="B155" s="88" t="s">
        <v>160</v>
      </c>
      <c r="C155" s="91">
        <v>1</v>
      </c>
      <c r="D155" s="91" t="s">
        <v>470</v>
      </c>
      <c r="E155" s="56">
        <v>43101</v>
      </c>
      <c r="F155" s="56">
        <v>43463</v>
      </c>
      <c r="G155" s="56">
        <v>43101</v>
      </c>
      <c r="H155" s="56">
        <v>43188</v>
      </c>
      <c r="I155" s="61" t="s">
        <v>194</v>
      </c>
      <c r="J155" s="81">
        <v>22281.599999999999</v>
      </c>
      <c r="K155" s="81">
        <f>4639.9+14.9</f>
        <v>4654.7999999999993</v>
      </c>
      <c r="L155" s="81">
        <v>4654.7</v>
      </c>
      <c r="M155" s="81">
        <v>6216.7</v>
      </c>
      <c r="N155" s="81"/>
      <c r="O155" s="81">
        <v>6475.7</v>
      </c>
      <c r="P155" s="81"/>
      <c r="Q155" s="81">
        <f>5439.5+3821.7-690.7-14.9</f>
        <v>8555.6</v>
      </c>
      <c r="R155" s="81"/>
      <c r="S155" s="80"/>
      <c r="T155" s="315"/>
    </row>
    <row r="156" spans="1:20" s="49" customFormat="1" ht="159.75" customHeight="1" x14ac:dyDescent="0.25">
      <c r="A156" s="59" t="s">
        <v>483</v>
      </c>
      <c r="B156" s="88" t="s">
        <v>161</v>
      </c>
      <c r="C156" s="91">
        <v>1</v>
      </c>
      <c r="D156" s="91" t="s">
        <v>470</v>
      </c>
      <c r="E156" s="56">
        <v>43101</v>
      </c>
      <c r="F156" s="56">
        <v>43463</v>
      </c>
      <c r="G156" s="56">
        <v>43101</v>
      </c>
      <c r="H156" s="56">
        <v>43188</v>
      </c>
      <c r="I156" s="59" t="s">
        <v>195</v>
      </c>
      <c r="J156" s="81"/>
      <c r="K156" s="81">
        <f>24004.6+189.4</f>
        <v>24194</v>
      </c>
      <c r="L156" s="81">
        <f>24004.6+189.4</f>
        <v>24194</v>
      </c>
      <c r="M156" s="81">
        <v>30966</v>
      </c>
      <c r="N156" s="81"/>
      <c r="O156" s="81">
        <v>32204.7</v>
      </c>
      <c r="P156" s="81"/>
      <c r="Q156" s="81">
        <f>26011.3+14110.8-3433.4-189.4</f>
        <v>36499.299999999996</v>
      </c>
      <c r="R156" s="81"/>
      <c r="S156" s="80"/>
      <c r="T156" s="315"/>
    </row>
    <row r="157" spans="1:20" s="49" customFormat="1" ht="42.75" customHeight="1" x14ac:dyDescent="0.25">
      <c r="A157" s="59" t="s">
        <v>484</v>
      </c>
      <c r="B157" s="88" t="s">
        <v>485</v>
      </c>
      <c r="C157" s="286"/>
      <c r="D157" s="287"/>
      <c r="E157" s="2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8"/>
      <c r="T157" s="315"/>
    </row>
    <row r="158" spans="1:20" s="49" customFormat="1" ht="225.15" customHeight="1" x14ac:dyDescent="0.25">
      <c r="A158" s="59" t="s">
        <v>486</v>
      </c>
      <c r="B158" s="88" t="s">
        <v>162</v>
      </c>
      <c r="C158" s="91">
        <v>1</v>
      </c>
      <c r="D158" s="91" t="s">
        <v>487</v>
      </c>
      <c r="E158" s="56">
        <v>43101</v>
      </c>
      <c r="F158" s="56">
        <v>43463</v>
      </c>
      <c r="G158" s="56">
        <v>43101</v>
      </c>
      <c r="H158" s="56">
        <v>43188</v>
      </c>
      <c r="I158" s="61" t="s">
        <v>196</v>
      </c>
      <c r="J158" s="81">
        <v>636.1</v>
      </c>
      <c r="K158" s="81">
        <v>297.60000000000002</v>
      </c>
      <c r="L158" s="81">
        <v>297.5</v>
      </c>
      <c r="M158" s="81">
        <v>150</v>
      </c>
      <c r="N158" s="81"/>
      <c r="O158" s="81">
        <v>375</v>
      </c>
      <c r="P158" s="81"/>
      <c r="Q158" s="81">
        <f>266.7-147.6</f>
        <v>119.1</v>
      </c>
      <c r="R158" s="81"/>
      <c r="S158" s="80"/>
      <c r="T158" s="313">
        <v>18</v>
      </c>
    </row>
    <row r="159" spans="1:20" s="49" customFormat="1" ht="178.5" customHeight="1" x14ac:dyDescent="0.25">
      <c r="A159" s="59" t="s">
        <v>488</v>
      </c>
      <c r="B159" s="88" t="s">
        <v>163</v>
      </c>
      <c r="C159" s="91">
        <v>1</v>
      </c>
      <c r="D159" s="91" t="s">
        <v>489</v>
      </c>
      <c r="E159" s="56">
        <v>43101</v>
      </c>
      <c r="F159" s="56">
        <v>43463</v>
      </c>
      <c r="G159" s="56">
        <v>43101</v>
      </c>
      <c r="H159" s="56">
        <v>43188</v>
      </c>
      <c r="I159" s="61" t="s">
        <v>197</v>
      </c>
      <c r="J159" s="81">
        <v>1116</v>
      </c>
      <c r="K159" s="81"/>
      <c r="L159" s="81"/>
      <c r="M159" s="81">
        <v>479.9</v>
      </c>
      <c r="N159" s="81"/>
      <c r="O159" s="81">
        <v>312.39999999999998</v>
      </c>
      <c r="P159" s="81"/>
      <c r="Q159" s="81">
        <v>323.7</v>
      </c>
      <c r="R159" s="81"/>
      <c r="S159" s="81"/>
      <c r="T159" s="315"/>
    </row>
    <row r="160" spans="1:20" s="49" customFormat="1" ht="27.75" hidden="1" customHeight="1" x14ac:dyDescent="0.25">
      <c r="A160" s="59"/>
      <c r="B160" s="114" t="s">
        <v>395</v>
      </c>
      <c r="C160" s="81" t="s">
        <v>13</v>
      </c>
      <c r="D160" s="81" t="s">
        <v>13</v>
      </c>
      <c r="E160" s="81" t="s">
        <v>13</v>
      </c>
      <c r="F160" s="81"/>
      <c r="G160" s="81"/>
      <c r="H160" s="81"/>
      <c r="I160" s="81" t="s">
        <v>13</v>
      </c>
      <c r="J160" s="81"/>
      <c r="K160" s="116">
        <f>K161+K162</f>
        <v>3564793.0999999996</v>
      </c>
      <c r="L160" s="116"/>
      <c r="M160" s="116">
        <f>M161+M162</f>
        <v>3899891.5999999996</v>
      </c>
      <c r="N160" s="116"/>
      <c r="O160" s="116">
        <f>O161+O162</f>
        <v>3976037.2</v>
      </c>
      <c r="P160" s="116"/>
      <c r="Q160" s="116">
        <f>Q161+Q162</f>
        <v>4811165.9000000004</v>
      </c>
      <c r="R160" s="116"/>
      <c r="S160" s="116"/>
      <c r="T160" s="315"/>
    </row>
    <row r="161" spans="1:24" s="49" customFormat="1" ht="36.75" hidden="1" customHeight="1" x14ac:dyDescent="0.25">
      <c r="A161" s="59"/>
      <c r="B161" s="114" t="s">
        <v>396</v>
      </c>
      <c r="C161" s="81" t="s">
        <v>13</v>
      </c>
      <c r="D161" s="81" t="s">
        <v>13</v>
      </c>
      <c r="E161" s="81" t="s">
        <v>13</v>
      </c>
      <c r="F161" s="81"/>
      <c r="G161" s="81"/>
      <c r="H161" s="81"/>
      <c r="I161" s="81" t="s">
        <v>13</v>
      </c>
      <c r="J161" s="81"/>
      <c r="K161" s="116">
        <f>K159+K156+K155+K154+K153+K152+K151+K150+K146+K145+K144+K143+K135+K134+K133+K132+K118+K113</f>
        <v>2755098.8</v>
      </c>
      <c r="L161" s="116"/>
      <c r="M161" s="116">
        <f>M159+M156+M155+M154+M153+M152+M151+M150+M146+M145+M144+M143+M135+M134+M133+M132+M118+M113</f>
        <v>2861192.8</v>
      </c>
      <c r="N161" s="116"/>
      <c r="O161" s="116">
        <f>O159+O156+O155+O154+O153+O152+O151+O150+O146+O145+O144+O143+O135+O134+O133+O132+O118+O113</f>
        <v>2895311.2</v>
      </c>
      <c r="P161" s="116"/>
      <c r="Q161" s="116">
        <f>Q159+Q156+Q155+Q154+Q153+Q152+Q151+Q150+Q146+Q145+Q144+Q143+Q135+Q134+Q133+Q132+Q118+Q113</f>
        <v>3671664</v>
      </c>
      <c r="R161" s="116"/>
      <c r="S161" s="116"/>
      <c r="T161" s="315"/>
    </row>
    <row r="162" spans="1:24" s="49" customFormat="1" ht="37.5" hidden="1" customHeight="1" x14ac:dyDescent="0.25">
      <c r="A162" s="59"/>
      <c r="B162" s="114" t="s">
        <v>397</v>
      </c>
      <c r="C162" s="81" t="s">
        <v>13</v>
      </c>
      <c r="D162" s="81" t="s">
        <v>13</v>
      </c>
      <c r="E162" s="81" t="s">
        <v>13</v>
      </c>
      <c r="F162" s="81"/>
      <c r="G162" s="81"/>
      <c r="H162" s="81"/>
      <c r="I162" s="81" t="s">
        <v>13</v>
      </c>
      <c r="J162" s="81"/>
      <c r="K162" s="116">
        <f>K136+K137+K138+K139+K140+K148+K158+K141</f>
        <v>809694.3</v>
      </c>
      <c r="L162" s="116"/>
      <c r="M162" s="116">
        <f>M136+M137+M138+M139+M140+M148+M158+M141</f>
        <v>1038698.8</v>
      </c>
      <c r="N162" s="116"/>
      <c r="O162" s="116">
        <f>O136+O137+O138+O139+O140+O148+O158+O141</f>
        <v>1080726</v>
      </c>
      <c r="P162" s="116"/>
      <c r="Q162" s="116">
        <f>Q136+Q137+Q138+Q139+Q140+Q148+Q158+Q141</f>
        <v>1139501.8999999999</v>
      </c>
      <c r="R162" s="116"/>
      <c r="S162" s="116"/>
      <c r="T162" s="315"/>
    </row>
    <row r="163" spans="1:24" s="49" customFormat="1" ht="30" customHeight="1" x14ac:dyDescent="0.25">
      <c r="A163" s="59"/>
      <c r="B163" s="87" t="s">
        <v>490</v>
      </c>
      <c r="C163" s="91" t="s">
        <v>13</v>
      </c>
      <c r="D163" s="91"/>
      <c r="E163" s="91" t="s">
        <v>13</v>
      </c>
      <c r="F163" s="91"/>
      <c r="G163" s="91"/>
      <c r="H163" s="91"/>
      <c r="I163" s="91" t="s">
        <v>13</v>
      </c>
      <c r="J163" s="81" t="s">
        <v>13</v>
      </c>
      <c r="K163" s="81" t="s">
        <v>13</v>
      </c>
      <c r="L163" s="81"/>
      <c r="M163" s="81"/>
      <c r="N163" s="81"/>
      <c r="O163" s="81"/>
      <c r="P163" s="81"/>
      <c r="Q163" s="81" t="s">
        <v>13</v>
      </c>
      <c r="R163" s="81"/>
      <c r="S163" s="81"/>
      <c r="T163" s="315"/>
    </row>
    <row r="164" spans="1:24" s="49" customFormat="1" ht="60.75" customHeight="1" x14ac:dyDescent="0.25">
      <c r="A164" s="59"/>
      <c r="B164" s="87" t="s">
        <v>491</v>
      </c>
      <c r="C164" s="91">
        <v>1</v>
      </c>
      <c r="D164" s="91" t="s">
        <v>13</v>
      </c>
      <c r="E164" s="56">
        <v>43101</v>
      </c>
      <c r="F164" s="56">
        <v>43463</v>
      </c>
      <c r="G164" s="56">
        <v>43101</v>
      </c>
      <c r="H164" s="56">
        <v>43188</v>
      </c>
      <c r="I164" s="59" t="s">
        <v>13</v>
      </c>
      <c r="J164" s="81" t="s">
        <v>13</v>
      </c>
      <c r="K164" s="81" t="s">
        <v>13</v>
      </c>
      <c r="L164" s="81"/>
      <c r="M164" s="81"/>
      <c r="N164" s="81"/>
      <c r="O164" s="81"/>
      <c r="P164" s="81"/>
      <c r="Q164" s="81" t="s">
        <v>13</v>
      </c>
      <c r="R164" s="81"/>
      <c r="S164" s="81"/>
      <c r="T164" s="315"/>
    </row>
    <row r="165" spans="1:24" s="49" customFormat="1" ht="45.75" customHeight="1" x14ac:dyDescent="0.25">
      <c r="A165" s="59"/>
      <c r="B165" s="87" t="s">
        <v>492</v>
      </c>
      <c r="C165" s="91" t="s">
        <v>13</v>
      </c>
      <c r="D165" s="91" t="s">
        <v>13</v>
      </c>
      <c r="E165" s="91" t="s">
        <v>13</v>
      </c>
      <c r="F165" s="91"/>
      <c r="G165" s="91"/>
      <c r="H165" s="91"/>
      <c r="I165" s="59" t="s">
        <v>13</v>
      </c>
      <c r="J165" s="81" t="s">
        <v>13</v>
      </c>
      <c r="K165" s="81" t="s">
        <v>13</v>
      </c>
      <c r="L165" s="81"/>
      <c r="M165" s="81"/>
      <c r="N165" s="81"/>
      <c r="O165" s="81"/>
      <c r="P165" s="81"/>
      <c r="Q165" s="81" t="s">
        <v>13</v>
      </c>
      <c r="R165" s="81"/>
      <c r="S165" s="81"/>
      <c r="T165" s="315"/>
    </row>
    <row r="166" spans="1:24" s="49" customFormat="1" ht="36.75" customHeight="1" x14ac:dyDescent="0.25">
      <c r="A166" s="59"/>
      <c r="B166" s="87" t="s">
        <v>493</v>
      </c>
      <c r="C166" s="91">
        <v>1</v>
      </c>
      <c r="D166" s="91" t="s">
        <v>13</v>
      </c>
      <c r="E166" s="56">
        <v>43101</v>
      </c>
      <c r="F166" s="56">
        <v>43463</v>
      </c>
      <c r="G166" s="56">
        <v>43101</v>
      </c>
      <c r="H166" s="56">
        <v>43188</v>
      </c>
      <c r="I166" s="59" t="s">
        <v>13</v>
      </c>
      <c r="J166" s="81" t="s">
        <v>13</v>
      </c>
      <c r="K166" s="81" t="s">
        <v>13</v>
      </c>
      <c r="L166" s="81"/>
      <c r="M166" s="81"/>
      <c r="N166" s="81"/>
      <c r="O166" s="81"/>
      <c r="P166" s="81"/>
      <c r="Q166" s="81" t="s">
        <v>13</v>
      </c>
      <c r="R166" s="81"/>
      <c r="S166" s="81"/>
      <c r="T166" s="315"/>
    </row>
    <row r="167" spans="1:24" s="49" customFormat="1" ht="57" customHeight="1" x14ac:dyDescent="0.25">
      <c r="A167" s="59" t="s">
        <v>494</v>
      </c>
      <c r="B167" s="87" t="s">
        <v>495</v>
      </c>
      <c r="C167" s="91" t="s">
        <v>13</v>
      </c>
      <c r="D167" s="91"/>
      <c r="E167" s="91" t="s">
        <v>13</v>
      </c>
      <c r="F167" s="91"/>
      <c r="G167" s="91"/>
      <c r="H167" s="91"/>
      <c r="I167" s="91" t="s">
        <v>13</v>
      </c>
      <c r="J167" s="81">
        <f>J168+J169+J170</f>
        <v>1363110.6</v>
      </c>
      <c r="K167" s="81"/>
      <c r="L167" s="81"/>
      <c r="M167" s="81"/>
      <c r="N167" s="81"/>
      <c r="O167" s="81"/>
      <c r="P167" s="81"/>
      <c r="Q167" s="81"/>
      <c r="R167" s="81"/>
      <c r="S167" s="81"/>
      <c r="T167" s="315"/>
      <c r="W167" s="58" t="e">
        <f>W168+#REF!+#REF!</f>
        <v>#REF!</v>
      </c>
      <c r="X167" s="58" t="e">
        <f>W167-J167</f>
        <v>#REF!</v>
      </c>
    </row>
    <row r="168" spans="1:24" s="49" customFormat="1" ht="57" customHeight="1" x14ac:dyDescent="0.25">
      <c r="A168" s="309" t="s">
        <v>496</v>
      </c>
      <c r="B168" s="311" t="s">
        <v>35</v>
      </c>
      <c r="C168" s="302"/>
      <c r="D168" s="311" t="s">
        <v>394</v>
      </c>
      <c r="E168" s="304">
        <v>43101</v>
      </c>
      <c r="F168" s="56">
        <v>43463</v>
      </c>
      <c r="G168" s="56">
        <v>43101</v>
      </c>
      <c r="H168" s="56">
        <v>43188</v>
      </c>
      <c r="I168" s="59" t="s">
        <v>497</v>
      </c>
      <c r="J168" s="81">
        <v>1346394.1</v>
      </c>
      <c r="K168" s="81">
        <v>265962.09999999998</v>
      </c>
      <c r="L168" s="348">
        <v>266381.5</v>
      </c>
      <c r="M168" s="81">
        <v>343575.2</v>
      </c>
      <c r="N168" s="81"/>
      <c r="O168" s="81">
        <v>326462.40000000002</v>
      </c>
      <c r="P168" s="81"/>
      <c r="Q168" s="81">
        <v>410394.4</v>
      </c>
      <c r="R168" s="81"/>
      <c r="S168" s="81"/>
      <c r="T168" s="315"/>
      <c r="W168" s="58">
        <f>K168+M168+O168+Q168</f>
        <v>1346394.1</v>
      </c>
      <c r="X168" s="58">
        <f>W168-J168</f>
        <v>0</v>
      </c>
    </row>
    <row r="169" spans="1:24" s="49" customFormat="1" ht="57" customHeight="1" x14ac:dyDescent="0.25">
      <c r="A169" s="309"/>
      <c r="B169" s="311"/>
      <c r="C169" s="302"/>
      <c r="D169" s="311"/>
      <c r="E169" s="304"/>
      <c r="F169" s="56"/>
      <c r="G169" s="56"/>
      <c r="H169" s="56"/>
      <c r="I169" s="59" t="s">
        <v>498</v>
      </c>
      <c r="J169" s="81">
        <v>15486.5</v>
      </c>
      <c r="K169" s="81">
        <v>273.39999999999998</v>
      </c>
      <c r="L169" s="349"/>
      <c r="M169" s="81">
        <v>0</v>
      </c>
      <c r="N169" s="81"/>
      <c r="O169" s="81">
        <v>7596.5</v>
      </c>
      <c r="P169" s="81"/>
      <c r="Q169" s="81">
        <v>7616.6</v>
      </c>
      <c r="R169" s="81"/>
      <c r="S169" s="81"/>
      <c r="T169" s="315"/>
      <c r="W169" s="58"/>
      <c r="X169" s="58"/>
    </row>
    <row r="170" spans="1:24" ht="57" customHeight="1" x14ac:dyDescent="0.25">
      <c r="A170" s="310"/>
      <c r="B170" s="312"/>
      <c r="C170" s="312"/>
      <c r="D170" s="312"/>
      <c r="E170" s="312"/>
      <c r="F170" s="126"/>
      <c r="G170" s="126"/>
      <c r="H170" s="126"/>
      <c r="I170" s="61" t="s">
        <v>499</v>
      </c>
      <c r="J170" s="127">
        <v>1230</v>
      </c>
      <c r="K170" s="128">
        <v>146</v>
      </c>
      <c r="L170" s="350"/>
      <c r="M170" s="128">
        <v>309</v>
      </c>
      <c r="N170" s="128"/>
      <c r="O170" s="128">
        <v>219</v>
      </c>
      <c r="P170" s="128"/>
      <c r="Q170" s="128">
        <v>556</v>
      </c>
      <c r="R170" s="128"/>
      <c r="S170" s="128"/>
      <c r="T170" s="315"/>
    </row>
    <row r="171" spans="1:24" ht="34.5" hidden="1" customHeight="1" x14ac:dyDescent="0.25">
      <c r="A171" s="129"/>
      <c r="B171" s="114" t="s">
        <v>500</v>
      </c>
      <c r="C171" s="91" t="s">
        <v>13</v>
      </c>
      <c r="D171" s="91" t="s">
        <v>13</v>
      </c>
      <c r="E171" s="91" t="s">
        <v>13</v>
      </c>
      <c r="F171" s="91"/>
      <c r="G171" s="91"/>
      <c r="H171" s="91"/>
      <c r="I171" s="59" t="s">
        <v>13</v>
      </c>
      <c r="J171" s="130"/>
      <c r="K171" s="116">
        <f>K168+K169+K170</f>
        <v>266381.5</v>
      </c>
      <c r="L171" s="116">
        <v>266381.5</v>
      </c>
      <c r="M171" s="116">
        <f>M168+M169+M170</f>
        <v>343884.2</v>
      </c>
      <c r="N171" s="116"/>
      <c r="O171" s="116">
        <f>O168+O169+O170</f>
        <v>334277.90000000002</v>
      </c>
      <c r="P171" s="116"/>
      <c r="Q171" s="116">
        <f>Q168+Q169+Q170</f>
        <v>418567</v>
      </c>
      <c r="R171" s="116"/>
      <c r="S171" s="116"/>
      <c r="T171" s="315"/>
    </row>
    <row r="172" spans="1:24" ht="34.5" customHeight="1" x14ac:dyDescent="0.25">
      <c r="A172" s="129"/>
      <c r="B172" s="114" t="s">
        <v>505</v>
      </c>
      <c r="C172" s="91" t="s">
        <v>13</v>
      </c>
      <c r="D172" s="91" t="s">
        <v>13</v>
      </c>
      <c r="E172" s="91" t="s">
        <v>13</v>
      </c>
      <c r="F172" s="91"/>
      <c r="G172" s="91"/>
      <c r="H172" s="91"/>
      <c r="I172" s="59" t="s">
        <v>13</v>
      </c>
      <c r="J172" s="130"/>
      <c r="K172" s="116">
        <f>K9+K72+K111+K168+K169+K170</f>
        <v>10431738.199000001</v>
      </c>
      <c r="L172" s="116">
        <f>L111+L72+L9+L168</f>
        <v>10431758.399</v>
      </c>
      <c r="M172" s="116">
        <f>M9+M72+M111+M168+M169+M170</f>
        <v>10552695.899999999</v>
      </c>
      <c r="N172" s="116"/>
      <c r="O172" s="116">
        <f>O9+O72+O111+O168+O169+O170</f>
        <v>10131827.700000001</v>
      </c>
      <c r="P172" s="116"/>
      <c r="Q172" s="116">
        <f>Q9+Q72+Q111+Q168+Q169+Q170</f>
        <v>11256769.600000001</v>
      </c>
      <c r="R172" s="116"/>
      <c r="S172" s="116"/>
      <c r="T172" s="313">
        <v>19</v>
      </c>
    </row>
    <row r="173" spans="1:24" ht="34.5" hidden="1" customHeight="1" x14ac:dyDescent="0.25">
      <c r="A173" s="62"/>
      <c r="B173" s="53" t="s">
        <v>396</v>
      </c>
      <c r="C173" s="47" t="s">
        <v>13</v>
      </c>
      <c r="D173" s="47" t="s">
        <v>13</v>
      </c>
      <c r="E173" s="47" t="s">
        <v>13</v>
      </c>
      <c r="F173" s="47"/>
      <c r="G173" s="47"/>
      <c r="H173" s="47"/>
      <c r="I173" s="46" t="s">
        <v>13</v>
      </c>
      <c r="J173" s="63"/>
      <c r="K173" s="54">
        <f>K70+K109+K161+K171</f>
        <v>7973547.335</v>
      </c>
      <c r="L173" s="54"/>
      <c r="M173" s="54">
        <f>M70+M109+M161+M171</f>
        <v>8319530.1719999984</v>
      </c>
      <c r="N173" s="54"/>
      <c r="O173" s="54">
        <f>O70+O109+O161+O171</f>
        <v>8217703.2880000006</v>
      </c>
      <c r="P173" s="54"/>
      <c r="Q173" s="54">
        <f>Q70+Q109+Q161+Q171</f>
        <v>9948251.2400000021</v>
      </c>
      <c r="R173" s="96"/>
      <c r="S173" s="96"/>
      <c r="T173" s="314"/>
    </row>
    <row r="174" spans="1:24" ht="34.5" hidden="1" customHeight="1" x14ac:dyDescent="0.25">
      <c r="A174" s="62"/>
      <c r="B174" s="53" t="s">
        <v>397</v>
      </c>
      <c r="C174" s="47" t="s">
        <v>13</v>
      </c>
      <c r="D174" s="47" t="s">
        <v>13</v>
      </c>
      <c r="E174" s="47" t="s">
        <v>13</v>
      </c>
      <c r="F174" s="47"/>
      <c r="G174" s="47"/>
      <c r="H174" s="47"/>
      <c r="I174" s="46" t="s">
        <v>13</v>
      </c>
      <c r="J174" s="63"/>
      <c r="K174" s="54">
        <f>K71+K162</f>
        <v>2458190.8640000001</v>
      </c>
      <c r="L174" s="54"/>
      <c r="M174" s="54">
        <f>M71+M162</f>
        <v>2224790.7280000001</v>
      </c>
      <c r="N174" s="54"/>
      <c r="O174" s="54">
        <f>O71+O162</f>
        <v>1914124.412</v>
      </c>
      <c r="P174" s="54"/>
      <c r="Q174" s="54">
        <f>Q71+Q162</f>
        <v>1298431.76</v>
      </c>
      <c r="R174" s="96"/>
      <c r="S174" s="96"/>
      <c r="T174" s="314"/>
    </row>
    <row r="175" spans="1:24" ht="34.5" hidden="1" customHeight="1" x14ac:dyDescent="0.25">
      <c r="A175" s="62"/>
      <c r="B175" s="53" t="s">
        <v>434</v>
      </c>
      <c r="C175" s="47" t="s">
        <v>13</v>
      </c>
      <c r="D175" s="47" t="s">
        <v>13</v>
      </c>
      <c r="E175" s="47" t="s">
        <v>13</v>
      </c>
      <c r="F175" s="47"/>
      <c r="G175" s="47"/>
      <c r="H175" s="47"/>
      <c r="I175" s="46" t="s">
        <v>13</v>
      </c>
      <c r="J175" s="63"/>
      <c r="K175" s="54">
        <f>K110</f>
        <v>0</v>
      </c>
      <c r="L175" s="54"/>
      <c r="M175" s="54">
        <f>M110</f>
        <v>8375</v>
      </c>
      <c r="N175" s="54"/>
      <c r="O175" s="54">
        <f>O110</f>
        <v>0</v>
      </c>
      <c r="P175" s="54"/>
      <c r="Q175" s="54">
        <f>Q110</f>
        <v>10065.699999999999</v>
      </c>
      <c r="R175" s="96"/>
      <c r="S175" s="96"/>
      <c r="T175" s="314"/>
    </row>
    <row r="176" spans="1:24" ht="33" customHeight="1" x14ac:dyDescent="0.25">
      <c r="A176" s="64"/>
      <c r="B176" s="65"/>
      <c r="C176" s="66"/>
      <c r="D176" s="66"/>
      <c r="E176" s="66"/>
      <c r="F176" s="66"/>
      <c r="G176" s="66"/>
      <c r="H176" s="66"/>
      <c r="I176" s="67"/>
      <c r="J176" s="68"/>
      <c r="K176" s="69"/>
      <c r="L176" s="69"/>
      <c r="M176" s="69"/>
      <c r="N176" s="69"/>
      <c r="O176" s="69"/>
      <c r="P176" s="69"/>
      <c r="Q176" s="70"/>
      <c r="R176" s="70"/>
      <c r="S176" s="70"/>
      <c r="T176" s="314"/>
    </row>
    <row r="177" spans="1:20" ht="33.75" customHeight="1" x14ac:dyDescent="0.5">
      <c r="A177" s="316" t="s">
        <v>514</v>
      </c>
      <c r="B177" s="316"/>
      <c r="C177" s="316"/>
      <c r="D177" s="316"/>
      <c r="E177" s="71"/>
      <c r="F177" s="71"/>
      <c r="G177" s="71"/>
      <c r="H177" s="71"/>
      <c r="I177" s="72"/>
      <c r="J177" s="73"/>
      <c r="K177" s="143"/>
      <c r="L177" s="143"/>
      <c r="M177" s="143"/>
      <c r="N177" s="143"/>
      <c r="O177" s="143"/>
      <c r="P177" s="143"/>
      <c r="Q177" s="143"/>
      <c r="R177" s="143"/>
      <c r="S177" s="86" t="s">
        <v>513</v>
      </c>
      <c r="T177" s="314"/>
    </row>
    <row r="178" spans="1:20" s="45" customFormat="1" x14ac:dyDescent="0.25">
      <c r="A178" s="316"/>
      <c r="B178" s="316"/>
      <c r="C178" s="316"/>
      <c r="D178" s="316"/>
      <c r="I178" s="75"/>
      <c r="T178" s="314"/>
    </row>
    <row r="179" spans="1:20" s="45" customFormat="1" x14ac:dyDescent="0.25">
      <c r="A179" s="74"/>
      <c r="B179" s="44"/>
      <c r="I179" s="75"/>
      <c r="T179" s="314"/>
    </row>
    <row r="180" spans="1:20" s="45" customFormat="1" x14ac:dyDescent="0.25">
      <c r="A180" s="74"/>
      <c r="B180" s="44"/>
      <c r="I180" s="75"/>
      <c r="T180" s="314"/>
    </row>
    <row r="181" spans="1:20" s="45" customFormat="1" x14ac:dyDescent="0.25">
      <c r="A181" s="74"/>
      <c r="B181" s="44"/>
      <c r="I181" s="75"/>
      <c r="T181" s="314"/>
    </row>
    <row r="182" spans="1:20" s="45" customFormat="1" x14ac:dyDescent="0.25">
      <c r="A182" s="74"/>
      <c r="B182" s="44"/>
      <c r="I182" s="75"/>
      <c r="T182" s="314"/>
    </row>
    <row r="183" spans="1:20" s="45" customFormat="1" x14ac:dyDescent="0.25">
      <c r="A183" s="74"/>
      <c r="B183" s="44"/>
      <c r="I183" s="75"/>
      <c r="T183" s="314"/>
    </row>
    <row r="184" spans="1:20" s="45" customFormat="1" x14ac:dyDescent="0.25">
      <c r="A184" s="74"/>
      <c r="B184" s="44"/>
      <c r="I184" s="75"/>
      <c r="T184" s="314"/>
    </row>
    <row r="185" spans="1:20" s="45" customFormat="1" x14ac:dyDescent="0.25">
      <c r="A185" s="74"/>
      <c r="B185" s="44"/>
      <c r="I185" s="75"/>
      <c r="T185" s="314"/>
    </row>
    <row r="186" spans="1:20" s="45" customFormat="1" x14ac:dyDescent="0.25">
      <c r="A186" s="74"/>
      <c r="B186" s="44"/>
      <c r="I186" s="75"/>
      <c r="T186" s="314"/>
    </row>
    <row r="187" spans="1:20" s="45" customFormat="1" x14ac:dyDescent="0.25">
      <c r="A187" s="74"/>
      <c r="B187" s="44"/>
      <c r="I187" s="75"/>
      <c r="T187" s="314"/>
    </row>
    <row r="188" spans="1:20" s="45" customFormat="1" x14ac:dyDescent="0.25">
      <c r="A188" s="74"/>
      <c r="B188" s="44"/>
      <c r="I188" s="75"/>
      <c r="T188" s="314"/>
    </row>
    <row r="189" spans="1:20" s="45" customFormat="1" x14ac:dyDescent="0.25">
      <c r="A189" s="74"/>
      <c r="B189" s="44"/>
      <c r="I189" s="75"/>
      <c r="T189" s="314"/>
    </row>
    <row r="190" spans="1:20" s="45" customFormat="1" x14ac:dyDescent="0.25">
      <c r="A190" s="74"/>
      <c r="B190" s="44"/>
      <c r="I190" s="75"/>
      <c r="T190" s="314"/>
    </row>
    <row r="191" spans="1:20" s="45" customFormat="1" x14ac:dyDescent="0.25">
      <c r="A191" s="74"/>
      <c r="B191" s="44"/>
      <c r="I191" s="75"/>
      <c r="T191" s="314"/>
    </row>
    <row r="192" spans="1:20" s="45" customFormat="1" x14ac:dyDescent="0.25">
      <c r="A192" s="74"/>
      <c r="B192" s="44"/>
      <c r="I192" s="75"/>
      <c r="T192" s="314"/>
    </row>
    <row r="193" spans="1:20" s="45" customFormat="1" x14ac:dyDescent="0.25">
      <c r="A193" s="74"/>
      <c r="B193" s="44"/>
      <c r="I193" s="75"/>
      <c r="T193" s="314"/>
    </row>
    <row r="194" spans="1:20" s="45" customFormat="1" x14ac:dyDescent="0.25">
      <c r="A194" s="74"/>
      <c r="B194" s="44"/>
      <c r="I194" s="75"/>
      <c r="T194" s="314"/>
    </row>
    <row r="195" spans="1:20" s="45" customFormat="1" x14ac:dyDescent="0.25">
      <c r="A195" s="74"/>
      <c r="B195" s="44"/>
      <c r="I195" s="75"/>
      <c r="T195" s="314"/>
    </row>
    <row r="196" spans="1:20" x14ac:dyDescent="0.25">
      <c r="A196" s="74"/>
      <c r="B196" s="44"/>
      <c r="C196" s="45"/>
      <c r="D196" s="45"/>
      <c r="E196" s="45"/>
      <c r="F196" s="45"/>
      <c r="G196" s="45"/>
      <c r="H196" s="45"/>
      <c r="I196" s="7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314"/>
    </row>
    <row r="197" spans="1:20" x14ac:dyDescent="0.25">
      <c r="A197" s="74"/>
      <c r="B197" s="44"/>
      <c r="C197" s="45"/>
      <c r="D197" s="45"/>
      <c r="E197" s="45"/>
      <c r="F197" s="45"/>
      <c r="G197" s="45"/>
      <c r="H197" s="45"/>
      <c r="I197" s="7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314"/>
    </row>
    <row r="198" spans="1:20" x14ac:dyDescent="0.25">
      <c r="A198" s="74"/>
      <c r="B198" s="44"/>
      <c r="C198" s="45"/>
      <c r="D198" s="45"/>
      <c r="E198" s="45"/>
      <c r="F198" s="45"/>
      <c r="G198" s="45"/>
      <c r="H198" s="45"/>
      <c r="I198" s="7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314"/>
    </row>
    <row r="199" spans="1:20" x14ac:dyDescent="0.25">
      <c r="A199" s="74"/>
      <c r="B199" s="44"/>
      <c r="C199" s="45"/>
      <c r="D199" s="45"/>
      <c r="E199" s="45"/>
      <c r="F199" s="45"/>
      <c r="G199" s="45"/>
      <c r="H199" s="45"/>
      <c r="I199" s="7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314"/>
    </row>
    <row r="200" spans="1:20" x14ac:dyDescent="0.25">
      <c r="A200" s="74"/>
      <c r="B200" s="44"/>
      <c r="C200" s="45"/>
      <c r="D200" s="45"/>
      <c r="E200" s="45"/>
      <c r="F200" s="45"/>
      <c r="G200" s="45"/>
      <c r="H200" s="45"/>
      <c r="I200" s="7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314"/>
    </row>
    <row r="201" spans="1:20" x14ac:dyDescent="0.25">
      <c r="A201" s="74"/>
      <c r="B201" s="44"/>
      <c r="C201" s="45"/>
      <c r="D201" s="45"/>
      <c r="E201" s="45"/>
      <c r="F201" s="45"/>
      <c r="G201" s="45"/>
      <c r="H201" s="45"/>
      <c r="I201" s="7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314"/>
    </row>
    <row r="202" spans="1:20" x14ac:dyDescent="0.25">
      <c r="A202" s="74"/>
      <c r="B202" s="44"/>
      <c r="C202" s="45"/>
      <c r="D202" s="45"/>
      <c r="E202" s="45"/>
      <c r="F202" s="45"/>
      <c r="G202" s="45"/>
      <c r="H202" s="45"/>
      <c r="I202" s="7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314"/>
    </row>
    <row r="203" spans="1:20" x14ac:dyDescent="0.25">
      <c r="A203" s="74"/>
      <c r="B203" s="44"/>
      <c r="C203" s="45"/>
      <c r="D203" s="45"/>
      <c r="E203" s="45"/>
      <c r="F203" s="45"/>
      <c r="G203" s="45"/>
      <c r="H203" s="45"/>
      <c r="I203" s="7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314"/>
    </row>
    <row r="204" spans="1:20" x14ac:dyDescent="0.25">
      <c r="A204" s="74"/>
      <c r="B204" s="44"/>
      <c r="C204" s="45"/>
      <c r="D204" s="45"/>
      <c r="E204" s="45"/>
      <c r="F204" s="45"/>
      <c r="G204" s="45"/>
      <c r="H204" s="45"/>
      <c r="I204" s="7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314"/>
    </row>
    <row r="205" spans="1:20" x14ac:dyDescent="0.25">
      <c r="A205" s="74"/>
      <c r="B205" s="44"/>
      <c r="C205" s="45"/>
      <c r="D205" s="45"/>
      <c r="E205" s="45"/>
      <c r="F205" s="45"/>
      <c r="G205" s="45"/>
      <c r="H205" s="45"/>
      <c r="I205" s="7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314"/>
    </row>
    <row r="206" spans="1:20" x14ac:dyDescent="0.25">
      <c r="A206" s="74"/>
      <c r="B206" s="44"/>
      <c r="C206" s="45"/>
      <c r="D206" s="45"/>
      <c r="E206" s="45"/>
      <c r="F206" s="45"/>
      <c r="G206" s="45"/>
      <c r="H206" s="45"/>
      <c r="I206" s="7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314"/>
    </row>
    <row r="207" spans="1:20" x14ac:dyDescent="0.25">
      <c r="A207" s="74"/>
      <c r="B207" s="44"/>
      <c r="C207" s="45"/>
      <c r="D207" s="45"/>
      <c r="E207" s="45"/>
      <c r="F207" s="45"/>
      <c r="G207" s="45"/>
      <c r="H207" s="45"/>
      <c r="I207" s="7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314"/>
    </row>
    <row r="208" spans="1:20" x14ac:dyDescent="0.25">
      <c r="A208" s="74"/>
      <c r="B208" s="44"/>
      <c r="C208" s="45"/>
      <c r="D208" s="45"/>
      <c r="E208" s="45"/>
      <c r="F208" s="45"/>
      <c r="G208" s="45"/>
      <c r="H208" s="45"/>
      <c r="I208" s="7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314"/>
    </row>
    <row r="209" spans="1:20" x14ac:dyDescent="0.25">
      <c r="A209" s="74"/>
      <c r="B209" s="44"/>
      <c r="C209" s="45"/>
      <c r="D209" s="45"/>
      <c r="E209" s="45"/>
      <c r="F209" s="45"/>
      <c r="G209" s="45"/>
      <c r="H209" s="45"/>
      <c r="I209" s="7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314"/>
    </row>
    <row r="210" spans="1:20" x14ac:dyDescent="0.25">
      <c r="A210" s="74"/>
      <c r="B210" s="44"/>
      <c r="C210" s="45"/>
      <c r="D210" s="45"/>
      <c r="E210" s="45"/>
      <c r="F210" s="45"/>
      <c r="G210" s="45"/>
      <c r="H210" s="45"/>
      <c r="I210" s="7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314"/>
    </row>
    <row r="211" spans="1:20" x14ac:dyDescent="0.25">
      <c r="A211" s="74"/>
      <c r="B211" s="44"/>
      <c r="C211" s="45"/>
      <c r="D211" s="45"/>
      <c r="E211" s="45"/>
      <c r="F211" s="45"/>
      <c r="G211" s="45"/>
      <c r="H211" s="45"/>
      <c r="I211" s="7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314"/>
    </row>
    <row r="212" spans="1:20" x14ac:dyDescent="0.25">
      <c r="A212" s="74"/>
      <c r="B212" s="44"/>
      <c r="C212" s="45"/>
      <c r="D212" s="45"/>
      <c r="E212" s="45"/>
      <c r="F212" s="45"/>
      <c r="G212" s="45"/>
      <c r="H212" s="45"/>
      <c r="I212" s="7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314"/>
    </row>
    <row r="213" spans="1:20" x14ac:dyDescent="0.25">
      <c r="A213" s="74"/>
      <c r="B213" s="44"/>
      <c r="C213" s="45"/>
      <c r="D213" s="45"/>
      <c r="E213" s="45"/>
      <c r="F213" s="45"/>
      <c r="G213" s="45"/>
      <c r="H213" s="45"/>
      <c r="I213" s="7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314"/>
    </row>
    <row r="214" spans="1:20" x14ac:dyDescent="0.25">
      <c r="A214" s="74"/>
      <c r="B214" s="44"/>
      <c r="C214" s="45"/>
      <c r="D214" s="45"/>
      <c r="E214" s="45"/>
      <c r="F214" s="45"/>
      <c r="G214" s="45"/>
      <c r="H214" s="45"/>
      <c r="I214" s="7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314"/>
    </row>
    <row r="215" spans="1:20" x14ac:dyDescent="0.25">
      <c r="A215" s="74"/>
      <c r="B215" s="44"/>
      <c r="C215" s="45"/>
      <c r="D215" s="45"/>
      <c r="E215" s="45"/>
      <c r="F215" s="45"/>
      <c r="G215" s="45"/>
      <c r="H215" s="45"/>
      <c r="I215" s="7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314"/>
    </row>
    <row r="216" spans="1:20" x14ac:dyDescent="0.25">
      <c r="A216" s="74"/>
      <c r="B216" s="44"/>
      <c r="C216" s="45"/>
      <c r="D216" s="45"/>
      <c r="E216" s="45"/>
      <c r="F216" s="45"/>
      <c r="G216" s="45"/>
      <c r="H216" s="45"/>
      <c r="I216" s="7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314"/>
    </row>
    <row r="217" spans="1:20" x14ac:dyDescent="0.25">
      <c r="A217" s="74"/>
      <c r="B217" s="44"/>
      <c r="C217" s="45"/>
      <c r="D217" s="45"/>
      <c r="E217" s="45"/>
      <c r="F217" s="45"/>
      <c r="G217" s="45"/>
      <c r="H217" s="45"/>
      <c r="I217" s="7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314"/>
    </row>
    <row r="218" spans="1:20" x14ac:dyDescent="0.25">
      <c r="A218" s="74"/>
      <c r="B218" s="44"/>
      <c r="C218" s="45"/>
      <c r="D218" s="45"/>
      <c r="E218" s="45"/>
      <c r="F218" s="45"/>
      <c r="G218" s="45"/>
      <c r="H218" s="45"/>
      <c r="I218" s="75"/>
      <c r="J218" s="45"/>
      <c r="K218" s="45"/>
      <c r="L218" s="45"/>
    </row>
  </sheetData>
  <autoFilter ref="A8:Q217"/>
  <mergeCells count="238">
    <mergeCell ref="L114:L117"/>
    <mergeCell ref="K114:K117"/>
    <mergeCell ref="K119:K122"/>
    <mergeCell ref="L119:L122"/>
    <mergeCell ref="F124:F126"/>
    <mergeCell ref="K124:K126"/>
    <mergeCell ref="L124:L126"/>
    <mergeCell ref="O15:O17"/>
    <mergeCell ref="Q15:Q17"/>
    <mergeCell ref="Q46:Q47"/>
    <mergeCell ref="M50:M55"/>
    <mergeCell ref="O50:O55"/>
    <mergeCell ref="Q50:Q55"/>
    <mergeCell ref="G124:G126"/>
    <mergeCell ref="H124:H126"/>
    <mergeCell ref="L15:L17"/>
    <mergeCell ref="L22:L24"/>
    <mergeCell ref="K22:K24"/>
    <mergeCell ref="L26:L28"/>
    <mergeCell ref="K26:K28"/>
    <mergeCell ref="L40:L41"/>
    <mergeCell ref="K40:K41"/>
    <mergeCell ref="L46:L47"/>
    <mergeCell ref="K46:K47"/>
    <mergeCell ref="F127:F128"/>
    <mergeCell ref="G127:G128"/>
    <mergeCell ref="H127:H128"/>
    <mergeCell ref="G15:G17"/>
    <mergeCell ref="H15:H17"/>
    <mergeCell ref="F22:F24"/>
    <mergeCell ref="G22:G24"/>
    <mergeCell ref="H22:H24"/>
    <mergeCell ref="F26:F28"/>
    <mergeCell ref="G26:G28"/>
    <mergeCell ref="H26:H28"/>
    <mergeCell ref="F119:F122"/>
    <mergeCell ref="G119:G122"/>
    <mergeCell ref="H119:H122"/>
    <mergeCell ref="T11:T19"/>
    <mergeCell ref="C14:Q14"/>
    <mergeCell ref="A15:A17"/>
    <mergeCell ref="B15:B17"/>
    <mergeCell ref="C15:C17"/>
    <mergeCell ref="D15:D17"/>
    <mergeCell ref="E15:E17"/>
    <mergeCell ref="C5:C6"/>
    <mergeCell ref="D5:D6"/>
    <mergeCell ref="I5:I6"/>
    <mergeCell ref="T1:T10"/>
    <mergeCell ref="A2:Q2"/>
    <mergeCell ref="A3:Q3"/>
    <mergeCell ref="A4:Q4"/>
    <mergeCell ref="A5:A6"/>
    <mergeCell ref="B5:B6"/>
    <mergeCell ref="E5:E8"/>
    <mergeCell ref="F5:F8"/>
    <mergeCell ref="G5:G8"/>
    <mergeCell ref="H5:H8"/>
    <mergeCell ref="F15:F17"/>
    <mergeCell ref="C10:Q10"/>
    <mergeCell ref="M15:M17"/>
    <mergeCell ref="K5:S5"/>
    <mergeCell ref="T31:T35"/>
    <mergeCell ref="C34:Q34"/>
    <mergeCell ref="T36:T43"/>
    <mergeCell ref="C39:Q39"/>
    <mergeCell ref="T20:T30"/>
    <mergeCell ref="C21:Q21"/>
    <mergeCell ref="A22:A24"/>
    <mergeCell ref="B22:B24"/>
    <mergeCell ref="C22:C24"/>
    <mergeCell ref="D22:D24"/>
    <mergeCell ref="E22:E24"/>
    <mergeCell ref="A26:A28"/>
    <mergeCell ref="B26:B28"/>
    <mergeCell ref="C26:C28"/>
    <mergeCell ref="F40:F41"/>
    <mergeCell ref="G40:G41"/>
    <mergeCell ref="H40:H41"/>
    <mergeCell ref="A40:A41"/>
    <mergeCell ref="B40:B41"/>
    <mergeCell ref="C40:C41"/>
    <mergeCell ref="D40:D41"/>
    <mergeCell ref="E40:E41"/>
    <mergeCell ref="D26:D28"/>
    <mergeCell ref="E26:E28"/>
    <mergeCell ref="T44:T55"/>
    <mergeCell ref="A46:A47"/>
    <mergeCell ref="B46:B47"/>
    <mergeCell ref="C46:C47"/>
    <mergeCell ref="D46:D47"/>
    <mergeCell ref="E46:E47"/>
    <mergeCell ref="C49:Q49"/>
    <mergeCell ref="A50:A55"/>
    <mergeCell ref="B50:B55"/>
    <mergeCell ref="C50:C55"/>
    <mergeCell ref="F46:F47"/>
    <mergeCell ref="G46:G47"/>
    <mergeCell ref="H46:H47"/>
    <mergeCell ref="F50:F55"/>
    <mergeCell ref="G50:G55"/>
    <mergeCell ref="H50:H55"/>
    <mergeCell ref="M46:M47"/>
    <mergeCell ref="O46:O47"/>
    <mergeCell ref="D50:D55"/>
    <mergeCell ref="E50:E55"/>
    <mergeCell ref="L50:L55"/>
    <mergeCell ref="K50:K55"/>
    <mergeCell ref="A87:A88"/>
    <mergeCell ref="F78:F80"/>
    <mergeCell ref="G78:G80"/>
    <mergeCell ref="H78:H80"/>
    <mergeCell ref="F87:F88"/>
    <mergeCell ref="G87:G88"/>
    <mergeCell ref="H87:H88"/>
    <mergeCell ref="T56:T61"/>
    <mergeCell ref="C59:Q59"/>
    <mergeCell ref="C61:Q61"/>
    <mergeCell ref="T62:T76"/>
    <mergeCell ref="A69:A71"/>
    <mergeCell ref="L87:L88"/>
    <mergeCell ref="T113:T117"/>
    <mergeCell ref="A114:A117"/>
    <mergeCell ref="B114:B117"/>
    <mergeCell ref="C114:C117"/>
    <mergeCell ref="D114:D117"/>
    <mergeCell ref="E114:E117"/>
    <mergeCell ref="K87:K88"/>
    <mergeCell ref="M87:M88"/>
    <mergeCell ref="O87:O88"/>
    <mergeCell ref="Q87:Q88"/>
    <mergeCell ref="T89:T94"/>
    <mergeCell ref="T95:T112"/>
    <mergeCell ref="B87:B88"/>
    <mergeCell ref="C87:C88"/>
    <mergeCell ref="D87:D88"/>
    <mergeCell ref="E87:E88"/>
    <mergeCell ref="I87:I88"/>
    <mergeCell ref="J87:J88"/>
    <mergeCell ref="F114:F117"/>
    <mergeCell ref="G114:G117"/>
    <mergeCell ref="H114:H117"/>
    <mergeCell ref="T77:T88"/>
    <mergeCell ref="A78:A80"/>
    <mergeCell ref="B78:B80"/>
    <mergeCell ref="A127:A128"/>
    <mergeCell ref="B127:B128"/>
    <mergeCell ref="E127:E128"/>
    <mergeCell ref="A129:A130"/>
    <mergeCell ref="B129:B130"/>
    <mergeCell ref="C129:C130"/>
    <mergeCell ref="D129:D130"/>
    <mergeCell ref="A119:A122"/>
    <mergeCell ref="B119:B122"/>
    <mergeCell ref="C119:C122"/>
    <mergeCell ref="D119:D122"/>
    <mergeCell ref="E119:E122"/>
    <mergeCell ref="A124:A126"/>
    <mergeCell ref="B124:B126"/>
    <mergeCell ref="C124:C126"/>
    <mergeCell ref="D124:D126"/>
    <mergeCell ref="E124:E126"/>
    <mergeCell ref="T131:T135"/>
    <mergeCell ref="T136:T145"/>
    <mergeCell ref="A137:A140"/>
    <mergeCell ref="B137:B140"/>
    <mergeCell ref="C137:C140"/>
    <mergeCell ref="D137:D140"/>
    <mergeCell ref="E137:E140"/>
    <mergeCell ref="F137:F140"/>
    <mergeCell ref="G137:G140"/>
    <mergeCell ref="H137:H140"/>
    <mergeCell ref="L137:L140"/>
    <mergeCell ref="K137:K140"/>
    <mergeCell ref="M137:M140"/>
    <mergeCell ref="O137:O140"/>
    <mergeCell ref="Q137:Q140"/>
    <mergeCell ref="A168:A170"/>
    <mergeCell ref="B168:B170"/>
    <mergeCell ref="C168:C170"/>
    <mergeCell ref="D168:D170"/>
    <mergeCell ref="E168:E170"/>
    <mergeCell ref="T172:T217"/>
    <mergeCell ref="T146:T151"/>
    <mergeCell ref="T152:T153"/>
    <mergeCell ref="T154:T157"/>
    <mergeCell ref="T158:T171"/>
    <mergeCell ref="C157:S157"/>
    <mergeCell ref="A177:D178"/>
    <mergeCell ref="L168:L170"/>
    <mergeCell ref="S119:S122"/>
    <mergeCell ref="S124:S126"/>
    <mergeCell ref="C131:S131"/>
    <mergeCell ref="S137:S140"/>
    <mergeCell ref="C142:S142"/>
    <mergeCell ref="C149:S149"/>
    <mergeCell ref="S40:S41"/>
    <mergeCell ref="S46:S47"/>
    <mergeCell ref="S50:S55"/>
    <mergeCell ref="C76:S76"/>
    <mergeCell ref="S78:S80"/>
    <mergeCell ref="C86:S86"/>
    <mergeCell ref="S87:S88"/>
    <mergeCell ref="M114:M117"/>
    <mergeCell ref="O114:O117"/>
    <mergeCell ref="Q114:Q117"/>
    <mergeCell ref="M119:M122"/>
    <mergeCell ref="O119:O122"/>
    <mergeCell ref="Q119:Q122"/>
    <mergeCell ref="M124:M126"/>
    <mergeCell ref="O124:O126"/>
    <mergeCell ref="Q124:Q126"/>
    <mergeCell ref="M40:M41"/>
    <mergeCell ref="O40:O41"/>
    <mergeCell ref="K6:L6"/>
    <mergeCell ref="M6:N6"/>
    <mergeCell ref="O6:P6"/>
    <mergeCell ref="Q6:R6"/>
    <mergeCell ref="C43:R43"/>
    <mergeCell ref="R10:S10"/>
    <mergeCell ref="C112:S112"/>
    <mergeCell ref="S114:S117"/>
    <mergeCell ref="S6:S9"/>
    <mergeCell ref="S15:S17"/>
    <mergeCell ref="M22:M24"/>
    <mergeCell ref="O22:O24"/>
    <mergeCell ref="Q22:Q24"/>
    <mergeCell ref="M26:M28"/>
    <mergeCell ref="Q26:Q28"/>
    <mergeCell ref="O26:O28"/>
    <mergeCell ref="Q40:Q41"/>
    <mergeCell ref="S22:S24"/>
    <mergeCell ref="S26:S28"/>
    <mergeCell ref="C30:S30"/>
    <mergeCell ref="C78:C80"/>
    <mergeCell ref="D78:D80"/>
    <mergeCell ref="E78:E80"/>
    <mergeCell ref="K15:K17"/>
  </mergeCells>
  <hyperlinks>
    <hyperlink ref="C5" r:id="rId1" display="consultantplus://offline/ref=296E051552D9B0DE54C4EEA366783458DCF3E2F270B1C5BE0EE0B1036681A6753D4434517D8E791EF555ABSAVCG"/>
  </hyperlinks>
  <pageMargins left="0.78740157480314965" right="0.59055118110236227" top="0.78740157480314965" bottom="0.39370078740157483" header="0.31496062992125984" footer="0.11811023622047245"/>
  <pageSetup paperSize="9" scale="38" fitToHeight="19" orientation="landscape" r:id="rId2"/>
  <headerFooter alignWithMargins="0"/>
  <rowBreaks count="1" manualBreakCount="1">
    <brk id="20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B30"/>
  <sheetViews>
    <sheetView view="pageBreakPreview" zoomScale="85" zoomScaleNormal="100" zoomScaleSheetLayoutView="85" workbookViewId="0">
      <selection activeCell="A4" sqref="A4:G4"/>
    </sheetView>
  </sheetViews>
  <sheetFormatPr defaultColWidth="9.109375" defaultRowHeight="15.6" x14ac:dyDescent="0.3"/>
  <cols>
    <col min="1" max="1" width="12.6640625" style="1" customWidth="1"/>
    <col min="2" max="2" width="50.5546875" style="1" customWidth="1"/>
    <col min="3" max="3" width="10" style="1" customWidth="1"/>
    <col min="4" max="4" width="15.5546875" style="1" customWidth="1"/>
    <col min="5" max="5" width="17.6640625" style="1" customWidth="1"/>
    <col min="6" max="6" width="13.5546875" style="1" customWidth="1"/>
    <col min="7" max="7" width="18.44140625" style="1" customWidth="1"/>
    <col min="8" max="16384" width="9.109375" style="1"/>
  </cols>
  <sheetData>
    <row r="1" spans="1:21" ht="18" x14ac:dyDescent="0.35">
      <c r="A1" s="355" t="s">
        <v>8</v>
      </c>
      <c r="B1" s="355"/>
      <c r="C1" s="355"/>
      <c r="D1" s="355"/>
      <c r="E1" s="355"/>
      <c r="F1" s="355"/>
      <c r="G1" s="355"/>
      <c r="J1" s="354"/>
      <c r="K1" s="354"/>
      <c r="L1" s="354"/>
      <c r="M1" s="354"/>
      <c r="N1" s="354"/>
    </row>
    <row r="2" spans="1:21" ht="18" x14ac:dyDescent="0.35">
      <c r="A2" s="355" t="s">
        <v>10</v>
      </c>
      <c r="B2" s="355"/>
      <c r="C2" s="355"/>
      <c r="D2" s="355"/>
      <c r="E2" s="355"/>
      <c r="F2" s="355"/>
      <c r="G2" s="355"/>
      <c r="J2" s="354"/>
      <c r="K2" s="354"/>
      <c r="L2" s="354"/>
      <c r="M2" s="354"/>
      <c r="N2" s="354"/>
    </row>
    <row r="3" spans="1:21" ht="18" x14ac:dyDescent="0.35">
      <c r="A3" s="355" t="s">
        <v>264</v>
      </c>
      <c r="B3" s="355"/>
      <c r="C3" s="355"/>
      <c r="D3" s="355"/>
      <c r="E3" s="355"/>
      <c r="F3" s="355"/>
      <c r="G3" s="355"/>
      <c r="J3" s="354"/>
      <c r="K3" s="354"/>
      <c r="L3" s="354"/>
      <c r="M3" s="354"/>
      <c r="N3" s="354"/>
    </row>
    <row r="4" spans="1:21" ht="18" x14ac:dyDescent="0.35">
      <c r="A4" s="355" t="s">
        <v>295</v>
      </c>
      <c r="B4" s="355"/>
      <c r="C4" s="355"/>
      <c r="D4" s="355"/>
      <c r="E4" s="355"/>
      <c r="F4" s="355"/>
      <c r="G4" s="355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4" customHeight="1" x14ac:dyDescent="0.25">
      <c r="A5" s="14"/>
      <c r="B5" s="15"/>
      <c r="C5" s="15"/>
      <c r="D5" s="15"/>
      <c r="E5" s="15"/>
      <c r="F5" s="15"/>
      <c r="G5" s="15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.6" customHeight="1" x14ac:dyDescent="0.3">
      <c r="A6" s="356" t="s">
        <v>265</v>
      </c>
      <c r="B6" s="357" t="s">
        <v>11</v>
      </c>
      <c r="C6" s="357" t="s">
        <v>7</v>
      </c>
      <c r="D6" s="358" t="s">
        <v>32</v>
      </c>
      <c r="E6" s="359"/>
      <c r="F6" s="359"/>
      <c r="G6" s="357" t="s">
        <v>266</v>
      </c>
      <c r="H6" s="4"/>
      <c r="I6" s="4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.6" x14ac:dyDescent="0.3">
      <c r="A7" s="356"/>
      <c r="B7" s="357"/>
      <c r="C7" s="357"/>
      <c r="D7" s="10" t="s">
        <v>28</v>
      </c>
      <c r="E7" s="360" t="s">
        <v>33</v>
      </c>
      <c r="F7" s="361"/>
      <c r="G7" s="357"/>
    </row>
    <row r="8" spans="1:21" x14ac:dyDescent="0.3">
      <c r="A8" s="356"/>
      <c r="B8" s="357"/>
      <c r="C8" s="357"/>
      <c r="D8" s="8" t="s">
        <v>17</v>
      </c>
      <c r="E8" s="8" t="s">
        <v>16</v>
      </c>
      <c r="F8" s="8" t="s">
        <v>17</v>
      </c>
      <c r="G8" s="357"/>
    </row>
    <row r="9" spans="1:21" ht="18.75" customHeight="1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</row>
    <row r="10" spans="1:21" ht="30" customHeight="1" x14ac:dyDescent="0.3">
      <c r="A10" s="17"/>
      <c r="B10" s="18" t="s">
        <v>267</v>
      </c>
      <c r="C10" s="19"/>
      <c r="D10" s="19"/>
      <c r="E10" s="19"/>
      <c r="F10" s="19"/>
      <c r="G10" s="19"/>
    </row>
    <row r="11" spans="1:21" ht="29.25" customHeight="1" x14ac:dyDescent="0.3">
      <c r="A11" s="20" t="s">
        <v>268</v>
      </c>
      <c r="B11" s="19" t="s">
        <v>269</v>
      </c>
      <c r="C11" s="21" t="s">
        <v>270</v>
      </c>
      <c r="D11" s="21">
        <v>3710</v>
      </c>
      <c r="E11" s="22">
        <v>20000</v>
      </c>
      <c r="F11" s="22">
        <v>3785</v>
      </c>
      <c r="G11" s="19" t="s">
        <v>271</v>
      </c>
    </row>
    <row r="12" spans="1:21" ht="42.75" customHeight="1" x14ac:dyDescent="0.3">
      <c r="A12" s="32" t="s">
        <v>272</v>
      </c>
      <c r="B12" s="33" t="s">
        <v>273</v>
      </c>
      <c r="C12" s="34" t="s">
        <v>274</v>
      </c>
      <c r="D12" s="34">
        <v>80</v>
      </c>
      <c r="E12" s="34">
        <v>100</v>
      </c>
      <c r="F12" s="34">
        <v>100</v>
      </c>
      <c r="G12" s="33"/>
    </row>
    <row r="13" spans="1:21" ht="55.5" customHeight="1" x14ac:dyDescent="0.3">
      <c r="A13" s="20" t="s">
        <v>275</v>
      </c>
      <c r="B13" s="19" t="s">
        <v>276</v>
      </c>
      <c r="C13" s="21" t="s">
        <v>274</v>
      </c>
      <c r="D13" s="21" t="s">
        <v>277</v>
      </c>
      <c r="E13" s="21">
        <v>95</v>
      </c>
      <c r="F13" s="21" t="s">
        <v>277</v>
      </c>
      <c r="G13" s="19"/>
    </row>
    <row r="14" spans="1:21" ht="55.5" customHeight="1" x14ac:dyDescent="0.3">
      <c r="A14" s="20" t="s">
        <v>278</v>
      </c>
      <c r="B14" s="19" t="s">
        <v>279</v>
      </c>
      <c r="C14" s="21" t="s">
        <v>274</v>
      </c>
      <c r="D14" s="21" t="s">
        <v>280</v>
      </c>
      <c r="E14" s="21">
        <v>100</v>
      </c>
      <c r="F14" s="21" t="s">
        <v>277</v>
      </c>
      <c r="G14" s="19"/>
    </row>
    <row r="15" spans="1:21" ht="33.75" customHeight="1" x14ac:dyDescent="0.3">
      <c r="A15" s="20" t="s">
        <v>281</v>
      </c>
      <c r="B15" s="19" t="s">
        <v>282</v>
      </c>
      <c r="C15" s="21" t="s">
        <v>274</v>
      </c>
      <c r="D15" s="21" t="s">
        <v>280</v>
      </c>
      <c r="E15" s="21">
        <v>82</v>
      </c>
      <c r="F15" s="21" t="s">
        <v>277</v>
      </c>
      <c r="G15" s="19"/>
    </row>
    <row r="16" spans="1:21" ht="69" customHeight="1" x14ac:dyDescent="0.3">
      <c r="A16" s="20" t="s">
        <v>283</v>
      </c>
      <c r="B16" s="19" t="s">
        <v>284</v>
      </c>
      <c r="C16" s="21" t="s">
        <v>274</v>
      </c>
      <c r="D16" s="21"/>
      <c r="E16" s="21">
        <v>2.6</v>
      </c>
      <c r="F16" s="21" t="s">
        <v>277</v>
      </c>
      <c r="G16" s="19"/>
    </row>
    <row r="17" spans="1:28" ht="31.5" customHeight="1" x14ac:dyDescent="0.3">
      <c r="A17" s="17"/>
      <c r="B17" s="18" t="s">
        <v>285</v>
      </c>
      <c r="C17" s="19"/>
      <c r="D17" s="19"/>
      <c r="E17" s="19"/>
      <c r="F17" s="19"/>
      <c r="G17" s="19"/>
    </row>
    <row r="18" spans="1:28" ht="57.75" customHeight="1" x14ac:dyDescent="0.3">
      <c r="A18" s="20" t="s">
        <v>286</v>
      </c>
      <c r="B18" s="19" t="s">
        <v>287</v>
      </c>
      <c r="C18" s="21" t="s">
        <v>274</v>
      </c>
      <c r="D18" s="21">
        <v>89.5</v>
      </c>
      <c r="E18" s="21">
        <v>100</v>
      </c>
      <c r="F18" s="21">
        <v>89.5</v>
      </c>
      <c r="G18" s="19" t="s">
        <v>288</v>
      </c>
    </row>
    <row r="19" spans="1:28" ht="30.75" customHeight="1" x14ac:dyDescent="0.3">
      <c r="A19" s="17"/>
      <c r="B19" s="18" t="s">
        <v>289</v>
      </c>
      <c r="C19" s="19"/>
      <c r="D19" s="19"/>
      <c r="E19" s="19"/>
      <c r="F19" s="19"/>
      <c r="G19" s="19"/>
    </row>
    <row r="20" spans="1:28" ht="69" customHeight="1" x14ac:dyDescent="0.3">
      <c r="A20" s="20" t="s">
        <v>290</v>
      </c>
      <c r="B20" s="19" t="s">
        <v>291</v>
      </c>
      <c r="C20" s="21" t="s">
        <v>274</v>
      </c>
      <c r="D20" s="21">
        <v>100</v>
      </c>
      <c r="E20" s="21">
        <v>100</v>
      </c>
      <c r="F20" s="21">
        <v>100</v>
      </c>
      <c r="G20" s="19"/>
    </row>
    <row r="21" spans="1:28" ht="32.25" customHeight="1" x14ac:dyDescent="0.3">
      <c r="A21" s="17"/>
      <c r="B21" s="18" t="s">
        <v>292</v>
      </c>
      <c r="C21" s="19"/>
      <c r="D21" s="19"/>
      <c r="E21" s="21"/>
      <c r="F21" s="19"/>
      <c r="G21" s="19"/>
    </row>
    <row r="22" spans="1:28" ht="120" customHeight="1" x14ac:dyDescent="0.3">
      <c r="A22" s="20" t="s">
        <v>293</v>
      </c>
      <c r="B22" s="19" t="s">
        <v>294</v>
      </c>
      <c r="C22" s="21" t="s">
        <v>274</v>
      </c>
      <c r="D22" s="21">
        <v>94.6</v>
      </c>
      <c r="E22" s="21">
        <v>94</v>
      </c>
      <c r="F22" s="21">
        <v>88.4</v>
      </c>
      <c r="G22" s="19"/>
    </row>
    <row r="23" spans="1:28" ht="30.6" customHeight="1" x14ac:dyDescent="0.3">
      <c r="A23" s="352"/>
      <c r="B23" s="353"/>
      <c r="C23" s="23"/>
      <c r="D23" s="23"/>
      <c r="E23" s="23"/>
      <c r="F23" s="23"/>
      <c r="G23" s="24"/>
    </row>
    <row r="24" spans="1:28" s="99" customFormat="1" ht="40.200000000000003" customHeight="1" x14ac:dyDescent="0.3">
      <c r="A24" s="351" t="s">
        <v>507</v>
      </c>
      <c r="B24" s="351"/>
      <c r="C24" s="351"/>
      <c r="D24" s="351"/>
      <c r="E24" s="351"/>
      <c r="F24" s="351"/>
      <c r="G24" s="351"/>
      <c r="H24" s="38"/>
      <c r="I24" s="39"/>
      <c r="J24" s="39"/>
      <c r="K24" s="38"/>
      <c r="L24" s="38"/>
      <c r="M24" s="38"/>
      <c r="N24" s="38"/>
      <c r="O24" s="37"/>
      <c r="P24" s="39" t="s">
        <v>3</v>
      </c>
      <c r="Q24" s="40"/>
      <c r="R24" s="40"/>
      <c r="S24" s="40"/>
      <c r="T24" s="40"/>
      <c r="U24" s="40"/>
      <c r="V24" s="37"/>
      <c r="W24" s="37"/>
      <c r="X24" s="37"/>
      <c r="Y24" s="37"/>
      <c r="Z24" s="37"/>
      <c r="AA24" s="41" t="s">
        <v>4</v>
      </c>
      <c r="AB24" s="37"/>
    </row>
    <row r="25" spans="1:28" ht="15.75" customHeight="1" x14ac:dyDescent="0.3">
      <c r="A25" s="351"/>
      <c r="B25" s="351"/>
      <c r="C25" s="351"/>
      <c r="D25" s="351"/>
      <c r="E25" s="351"/>
      <c r="F25" s="351"/>
      <c r="G25" s="351"/>
    </row>
    <row r="26" spans="1:28" ht="15.6" customHeight="1" x14ac:dyDescent="0.3">
      <c r="A26" s="351"/>
      <c r="B26" s="351"/>
      <c r="C26" s="351"/>
      <c r="D26" s="351"/>
      <c r="E26" s="351"/>
      <c r="F26" s="351"/>
      <c r="G26" s="351"/>
    </row>
    <row r="27" spans="1:28" ht="15.75" customHeight="1" x14ac:dyDescent="0.35">
      <c r="A27" s="25"/>
      <c r="B27" s="25"/>
      <c r="C27" s="25"/>
      <c r="D27" s="26"/>
      <c r="E27" s="27"/>
      <c r="F27" s="27"/>
      <c r="G27" s="27"/>
    </row>
    <row r="28" spans="1:28" ht="27" customHeight="1" x14ac:dyDescent="0.35">
      <c r="A28" s="28"/>
      <c r="B28" s="29"/>
      <c r="C28" s="29"/>
      <c r="D28" s="29"/>
      <c r="E28" s="27"/>
      <c r="F28" s="27"/>
      <c r="G28" s="27"/>
      <c r="H28" s="6"/>
      <c r="J28" s="6"/>
      <c r="K28" s="6"/>
    </row>
    <row r="29" spans="1:28" ht="18" x14ac:dyDescent="0.35">
      <c r="A29" s="28"/>
      <c r="B29" s="29"/>
      <c r="C29" s="29"/>
      <c r="D29" s="29"/>
      <c r="E29" s="27"/>
      <c r="F29" s="27"/>
      <c r="G29" s="30"/>
      <c r="H29" s="7"/>
      <c r="I29" s="7"/>
      <c r="J29" s="7"/>
      <c r="K29" s="7"/>
    </row>
    <row r="30" spans="1:28" x14ac:dyDescent="0.3">
      <c r="A30" s="14"/>
      <c r="B30" s="14"/>
      <c r="C30" s="14"/>
      <c r="D30" s="14"/>
      <c r="E30" s="14"/>
      <c r="F30" s="14"/>
      <c r="G30" s="14"/>
      <c r="H30" s="7"/>
      <c r="I30" s="7"/>
      <c r="J30" s="7"/>
      <c r="K30" s="7"/>
    </row>
  </sheetData>
  <mergeCells count="15">
    <mergeCell ref="A24:G26"/>
    <mergeCell ref="A23:B23"/>
    <mergeCell ref="J1:N1"/>
    <mergeCell ref="J2:N2"/>
    <mergeCell ref="J3:N3"/>
    <mergeCell ref="A1:G1"/>
    <mergeCell ref="A2:G2"/>
    <mergeCell ref="A3:G3"/>
    <mergeCell ref="A4:G4"/>
    <mergeCell ref="A6:A8"/>
    <mergeCell ref="B6:B8"/>
    <mergeCell ref="C6:C8"/>
    <mergeCell ref="D6:F6"/>
    <mergeCell ref="G6:G8"/>
    <mergeCell ref="E7:F7"/>
  </mergeCells>
  <pageMargins left="0.51181102362204722" right="0.11811023622047245" top="0.35433070866141736" bottom="0.35433070866141736" header="0.11811023622047245" footer="0.11811023622047245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Финансирование</vt:lpstr>
      <vt:lpstr>План реализации</vt:lpstr>
      <vt:lpstr>Показатели, критерии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Маслак Иван Николаевич</cp:lastModifiedBy>
  <cp:lastPrinted>2018-04-25T09:26:48Z</cp:lastPrinted>
  <dcterms:created xsi:type="dcterms:W3CDTF">2010-04-08T05:43:02Z</dcterms:created>
  <dcterms:modified xsi:type="dcterms:W3CDTF">2019-01-10T07:44:26Z</dcterms:modified>
</cp:coreProperties>
</file>